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<sst xmlns="http://schemas.openxmlformats.org/spreadsheetml/2006/main" count="672" uniqueCount="457">
  <si>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</si>
  <si>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</si>
  <si>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</si>
  <si>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</si>
  <si>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</si>
  <si>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</si>
  <si>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</si>
  <si>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</si>
  <si>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</si>
  <si>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</si>
  <si>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</si>
  <si>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</si>
  <si>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</si>
  <si>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</si>
  <si>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</si>
  <si>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</si>
  <si>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</si>
  <si>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</si>
  <si>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</si>
  <si>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</si>
  <si>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</si>
  <si>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</si>
  <si>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</si>
  <si>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</si>
  <si>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</si>
  <si>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</si>
  <si>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</si>
  <si>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</si>
  <si>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</si>
  <si>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</si>
  <si>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</si>
  <si>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</si>
  <si>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</si>
  <si>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</si>
  <si>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</si>
  <si>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</si>
  <si>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</si>
  <si>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</si>
  <si>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</si>
  <si>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</si>
  <si>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</si>
  <si>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</si>
  <si>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</si>
  <si>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</si>
  <si>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</si>
  <si>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</si>
  <si>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</si>
  <si>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</si>
  <si>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</si>
  <si>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</si>
  <si>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</si>
  <si>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</si>
  <si>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</si>
  <si>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</si>
  <si>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</si>
  <si>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</si>
  <si>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</si>
  <si>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</si>
  <si>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</si>
  <si>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</si>
  <si>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</si>
  <si>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</si>
  <si>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</si>
  <si>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</si>
  <si>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</si>
  <si>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</si>
  <si>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</si>
  <si>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</si>
  <si>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</si>
  <si>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</si>
  <si>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</si>
  <si>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</si>
  <si>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</si>
  <si>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</si>
  <si>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</si>
  <si>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</si>
  <si>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</si>
  <si>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</si>
  <si>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</si>
  <si>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</si>
  <si>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</si>
  <si>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</si>
  <si>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</si>
  <si>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</si>
  <si>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</si>
  <si>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</si>
  <si>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</si>
  <si>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</si>
  <si>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</si>
  <si>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</si>
  <si>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</si>
  <si>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</si>
  <si>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</si>
  <si>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</si>
  <si>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</si>
  <si>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</si>
  <si>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</si>
  <si>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</si>
  <si>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</si>
  <si>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</si>
  <si>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</si>
  <si>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</si>
  <si>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</si>
  <si>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</si>
  <si>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</si>
  <si>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</si>
  <si>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</si>
  <si>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</si>
  <si>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</si>
  <si>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</si>
  <si>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</si>
  <si>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</si>
  <si>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</si>
  <si>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</si>
  <si>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</si>
  <si>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</si>
  <si>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</si>
  <si>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</si>
  <si>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</si>
  <si>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</si>
  <si>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</si>
  <si>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</si>
  <si>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</si>
  <si>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</si>
  <si>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</si>
  <si>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</si>
  <si>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</si>
  <si>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</si>
  <si>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</si>
  <si>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</si>
  <si>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</si>
  <si>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</si>
  <si>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</si>
  <si>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</si>
  <si>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</si>
  <si>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</si>
  <si>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</si>
  <si>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</si>
  <si>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</si>
  <si>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</si>
  <si>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</si>
  <si>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</si>
  <si>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</si>
  <si>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</si>
  <si>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</si>
  <si>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</si>
  <si>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</si>
  <si>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</si>
  <si>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</si>
  <si>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</si>
  <si>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</si>
  <si>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</si>
  <si>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</si>
  <si>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</si>
  <si>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</si>
  <si>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</si>
  <si>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</si>
  <si>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</si>
  <si>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</si>
  <si>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</si>
  <si>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</si>
  <si>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</si>
  <si>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</si>
  <si>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</si>
  <si>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</si>
  <si>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</si>
  <si>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</si>
  <si>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</si>
  <si>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</si>
  <si>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</si>
  <si>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</si>
  <si>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</si>
  <si>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</si>
  <si>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</si>
  <si>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</si>
  <si>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</si>
  <si>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</si>
  <si>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</si>
  <si>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</si>
  <si>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</si>
  <si>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</si>
  <si>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</si>
  <si>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</si>
  <si>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</si>
  <si>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</si>
  <si>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</si>
  <si>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</si>
  <si>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</si>
  <si>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</si>
  <si>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</si>
  <si>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</si>
  <si>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</si>
  <si>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</si>
  <si>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</si>
  <si>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</si>
  <si>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</si>
  <si>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</si>
  <si>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</si>
  <si>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</si>
  <si>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</si>
  <si>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</si>
  <si>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</si>
  <si>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</si>
  <si>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</si>
  <si>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</si>
  <si>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</si>
  <si>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</si>
  <si>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</si>
  <si>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</si>
  <si>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</si>
  <si>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</si>
  <si>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</si>
  <si>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</si>
  <si>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</si>
  <si>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</si>
  <si>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</si>
  <si>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</si>
  <si>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</si>
  <si>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</si>
  <si>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</si>
  <si>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</si>
  <si>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</si>
  <si>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</si>
  <si>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</si>
  <si>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</si>
  <si>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</si>
  <si>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</si>
  <si>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</si>
  <si>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</si>
  <si>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</si>
  <si>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</si>
  <si>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</si>
  <si>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</si>
  <si>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</si>
  <si>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</si>
  <si>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</si>
  <si>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</si>
  <si>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</si>
  <si>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</si>
  <si>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</si>
  <si>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</si>
  <si>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</si>
  <si>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</si>
  <si>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</si>
  <si>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</si>
  <si>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</si>
  <si>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</si>
  <si>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</si>
  <si>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</si>
  <si>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</si>
  <si>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</si>
  <si>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</si>
  <si>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</si>
  <si>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</si>
  <si>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</si>
  <si>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</si>
  <si>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</si>
  <si>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</si>
  <si>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</si>
  <si>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</si>
  <si>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</si>
  <si>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</si>
  <si>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</si>
  <si>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</si>
  <si>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</si>
  <si>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</si>
  <si>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</si>
  <si>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</si>
  <si>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</si>
  <si>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</si>
  <si>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</si>
  <si>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</si>
  <si>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</si>
  <si>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</si>
  <si>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</si>
  <si>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</si>
  <si>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</si>
  <si>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</si>
  <si>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</si>
  <si>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</si>
  <si>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</si>
  <si>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</si>
  <si>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</si>
  <si>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</si>
  <si>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</si>
  <si>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</si>
  <si>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</si>
  <si>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</si>
  <si>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</si>
  <si>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</si>
  <si>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</si>
  <si>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</si>
  <si>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</si>
  <si>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</si>
  <si>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</si>
  <si>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</si>
  <si>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</si>
  <si>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</si>
  <si>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</si>
  <si>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</si>
  <si>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</si>
  <si>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</si>
  <si>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</si>
  <si>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</si>
  <si>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</si>
  <si>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</si>
  <si>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</si>
  <si>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</si>
  <si>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</si>
  <si>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</si>
  <si>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</si>
  <si>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</si>
  <si>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</si>
  <si>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</si>
  <si>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</si>
  <si>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</si>
  <si>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</si>
  <si>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</si>
  <si>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</si>
  <si>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</si>
  <si>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</si>
  <si>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</si>
  <si>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</si>
  <si>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</si>
  <si>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</si>
  <si>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</si>
  <si>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</si>
  <si>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</si>
  <si>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</si>
  <si>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</si>
  <si>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</si>
  <si>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</si>
  <si>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</si>
  <si>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</si>
  <si>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</si>
  <si>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</si>
  <si>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</si>
  <si>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</si>
  <si>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</si>
  <si>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</si>
  <si>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</si>
  <si>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</si>
  <si>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</si>
  <si>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</si>
  <si>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</si>
  <si>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</si>
  <si>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</si>
  <si>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</si>
  <si>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</si>
  <si>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</si>
  <si>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</si>
  <si>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</si>
  <si>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</si>
  <si>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</si>
  <si>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</si>
  <si>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</si>
  <si>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</si>
  <si>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</si>
  <si>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</si>
  <si>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</si>
  <si>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</si>
  <si>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</si>
  <si>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</si>
  <si>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</si>
  <si>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</si>
  <si>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</si>
  <si>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</si>
  <si>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</si>
  <si>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</si>
  <si>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</si>
  <si>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</si>
  <si>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</si>
  <si>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</si>
  <si>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</si>
  <si>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</si>
  <si>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</si>
  <si>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</si>
  <si>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</si>
  <si>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</si>
  <si>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</si>
  <si>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</si>
  <si>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</si>
  <si>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</si>
  <si>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</si>
  <si>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</si>
  <si>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</si>
  <si>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</si>
  <si>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</si>
  <si>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</si>
  <si>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</si>
  <si>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</si>
  <si>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</si>
  <si>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</si>
  <si>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</si>
  <si>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</si>
  <si>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</si>
  <si>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</si>
  <si>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</si>
  <si>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</si>
  <si>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</si>
  <si>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</si>
  <si>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</si>
  <si>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</si>
  <si>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</si>
  <si>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</si>
  <si>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</si>
  <si>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</si>
  <si>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</si>
  <si>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</si>
  <si>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</si>
  <si>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</si>
  <si>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</si>
  <si>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</si>
  <si>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</si>
  <si>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</si>
  <si>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</si>
  <si>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</si>
  <si>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</si>
  <si>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</si>
  <si>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</si>
  <si>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</si>
  <si>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</si>
  <si>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</si>
  <si>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</si>
  <si>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</si>
  <si>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</si>
  <si>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</si>
  <si>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</si>
  <si>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</si>
  <si>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</si>
  <si>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</si>
  <si>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</si>
  <si>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</si>
  <si>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</si>
  <si>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</si>
  <si>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</si>
  <si>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</si>
  <si>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</si>
  <si>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</si>
  <si>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</si>
  <si>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</si>
  <si>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</si>
  <si>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</si>
  <si>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</si>
  <si>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</si>
  <si>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</si>
  <si>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</si>
  <si>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</si>
  <si>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</si>
  <si>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</si>
  <si>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</si>
  <si>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</si>
  <si>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</si>
  <si>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</si>
  <si>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vasileva_m@fsc.bg</t>
  </si>
  <si>
    <t>КОМИСИЯ ЗА ФИНАНСОВ НАДЗОР</t>
  </si>
  <si>
    <t>УЛ. БУДАПЕЩА,16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</si>
</sst>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210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68" fillId="38" borderId="0" xfId="57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89" fillId="32" borderId="0" xfId="0" applyNumberFormat="1" applyFont="1" applyFill="1" applyAlignment="1" applyProtection="1">
      <alignment horizontal="center"/>
      <protection/>
    </xf>
    <xf numFmtId="209" fontId="189" fillId="54" borderId="0" xfId="0" applyNumberFormat="1" applyFont="1" applyFill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 locked="0"/>
    </xf>
    <xf numFmtId="188" fontId="190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1" fillId="33" borderId="61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2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3" fillId="36" borderId="43" xfId="53" applyFont="1" applyFill="1" applyBorder="1" applyAlignment="1" applyProtection="1">
      <alignment horizontal="center" vertical="center"/>
      <protection locked="0"/>
    </xf>
    <xf numFmtId="0" fontId="193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4" fillId="33" borderId="43" xfId="53" applyNumberFormat="1" applyFont="1" applyFill="1" applyBorder="1" applyAlignment="1" applyProtection="1">
      <alignment horizontal="center" vertical="center"/>
      <protection locked="0"/>
    </xf>
    <xf numFmtId="38" fontId="194" fillId="33" borderId="29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6" fillId="32" borderId="45" xfId="57" applyFont="1" applyFill="1" applyBorder="1" applyAlignment="1" applyProtection="1" quotePrefix="1">
      <alignment horizontal="center"/>
      <protection/>
    </xf>
    <xf numFmtId="0" fontId="197" fillId="38" borderId="26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208" fontId="198" fillId="48" borderId="43" xfId="65" applyNumberFormat="1" applyFont="1" applyFill="1" applyBorder="1" applyAlignment="1" applyProtection="1">
      <alignment horizontal="left"/>
      <protection/>
    </xf>
    <xf numFmtId="208" fontId="198" fillId="48" borderId="29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11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9" fillId="33" borderId="47" xfId="65" applyNumberFormat="1" applyFont="1" applyFill="1" applyBorder="1" applyAlignment="1" applyProtection="1">
      <alignment horizontal="center"/>
      <protection/>
    </xf>
    <xf numFmtId="38" fontId="199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9" fillId="33" borderId="49" xfId="65" applyNumberFormat="1" applyFont="1" applyFill="1" applyBorder="1" applyAlignment="1" applyProtection="1">
      <alignment horizontal="center"/>
      <protection/>
    </xf>
    <xf numFmtId="38" fontId="199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2" fillId="33" borderId="0" xfId="60" applyNumberFormat="1" applyFont="1" applyFill="1" applyBorder="1" applyAlignment="1" applyProtection="1">
      <alignment horizontal="center"/>
      <protection/>
    </xf>
    <xf numFmtId="0" fontId="196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1" fillId="33" borderId="116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10" fontId="200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/>
    </xf>
    <xf numFmtId="188" fontId="190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01" fillId="36" borderId="43" xfId="53" applyFont="1" applyFill="1" applyBorder="1" applyAlignment="1" applyProtection="1">
      <alignment horizontal="center" vertical="center"/>
      <protection/>
    </xf>
    <xf numFmtId="0" fontId="201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286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355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263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262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356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357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358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359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298</v>
      </c>
      <c r="E14" s="66"/>
      <c r="F14" s="66"/>
      <c r="G14" s="66"/>
      <c r="H14" s="603">
        <f>+H7</f>
        <v>2023</v>
      </c>
      <c r="I14" s="602" t="s">
        <v>299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361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362</v>
      </c>
      <c r="E17" s="604">
        <f>+H7-1</f>
        <v>2022</v>
      </c>
      <c r="F17" s="461" t="s">
        <v>363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364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365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366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298</v>
      </c>
      <c r="E21" s="66"/>
      <c r="F21" s="66"/>
      <c r="G21" s="66"/>
      <c r="H21" s="604">
        <f>+H7-1</f>
        <v>2022</v>
      </c>
      <c r="I21" s="602" t="s">
        <v>299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367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368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369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269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370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287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371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372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373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374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375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376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264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377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378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379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267</v>
      </c>
      <c r="E41" s="66"/>
      <c r="F41" s="607"/>
      <c r="G41" s="607"/>
      <c r="H41" s="607"/>
      <c r="I41" s="579"/>
      <c r="J41" s="608">
        <f>+H7-1</f>
        <v>2022</v>
      </c>
      <c r="K41" s="66" t="s">
        <v>265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266</v>
      </c>
      <c r="E42" s="66"/>
      <c r="F42" s="607"/>
      <c r="G42" s="655">
        <f>+H7-1</f>
        <v>2022</v>
      </c>
      <c r="H42" s="655"/>
      <c r="I42" s="609" t="s">
        <v>380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381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382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268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383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384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385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334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386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335</v>
      </c>
      <c r="E57" s="66"/>
      <c r="F57" s="66"/>
      <c r="G57" s="66"/>
      <c r="H57" s="66"/>
      <c r="I57" s="646">
        <f>+H7</f>
        <v>2023</v>
      </c>
      <c r="J57" s="646"/>
      <c r="K57" s="611" t="s">
        <v>387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388</v>
      </c>
      <c r="E59" s="659">
        <f>+H7</f>
        <v>2023</v>
      </c>
      <c r="F59" s="659"/>
      <c r="G59" s="659"/>
      <c r="H59" s="659"/>
      <c r="I59" s="659"/>
      <c r="J59" s="659"/>
      <c r="K59" s="613" t="s">
        <v>389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390</v>
      </c>
      <c r="E60" s="660">
        <f>+H7</f>
        <v>2023</v>
      </c>
      <c r="F60" s="660"/>
      <c r="G60" s="660"/>
      <c r="H60" s="660"/>
      <c r="I60" s="660"/>
      <c r="J60" s="660"/>
      <c r="K60" s="615" t="s">
        <v>391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392</v>
      </c>
      <c r="E61" s="665">
        <f>+H7</f>
        <v>2023</v>
      </c>
      <c r="F61" s="665"/>
      <c r="G61" s="665"/>
      <c r="H61" s="665"/>
      <c r="I61" s="665"/>
      <c r="J61" s="665"/>
      <c r="K61" s="617" t="s">
        <v>393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394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336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337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395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396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397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398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399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400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339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401</v>
      </c>
      <c r="E75" s="66"/>
      <c r="F75" s="66"/>
      <c r="G75" s="66"/>
      <c r="H75" s="578"/>
      <c r="I75" s="644">
        <f>+H7</f>
        <v>2023</v>
      </c>
      <c r="J75" s="644"/>
      <c r="K75" s="66" t="s">
        <v>340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338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402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403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334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386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335</v>
      </c>
      <c r="E82" s="66"/>
      <c r="F82" s="66"/>
      <c r="G82" s="66"/>
      <c r="H82" s="66"/>
      <c r="I82" s="646">
        <f>+H7</f>
        <v>2023</v>
      </c>
      <c r="J82" s="646"/>
      <c r="K82" s="611" t="s">
        <v>404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388</v>
      </c>
      <c r="E84" s="673">
        <f>+H7</f>
        <v>2023</v>
      </c>
      <c r="F84" s="673"/>
      <c r="G84" s="673"/>
      <c r="H84" s="673"/>
      <c r="I84" s="673"/>
      <c r="J84" s="673"/>
      <c r="K84" s="613" t="s">
        <v>405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390</v>
      </c>
      <c r="E85" s="675">
        <f>+H7</f>
        <v>2023</v>
      </c>
      <c r="F85" s="675"/>
      <c r="G85" s="675"/>
      <c r="H85" s="675"/>
      <c r="I85" s="675"/>
      <c r="J85" s="675"/>
      <c r="K85" s="615" t="s">
        <v>406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392</v>
      </c>
      <c r="E86" s="676">
        <f>+H7</f>
        <v>2023</v>
      </c>
      <c r="F86" s="676"/>
      <c r="G86" s="676"/>
      <c r="H86" s="676"/>
      <c r="I86" s="676"/>
      <c r="J86" s="676"/>
      <c r="K86" s="617" t="s">
        <v>407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408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336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337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409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410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334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386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302</v>
      </c>
      <c r="E98" s="66"/>
      <c r="F98" s="66"/>
      <c r="G98" s="66"/>
      <c r="H98" s="66"/>
      <c r="I98" s="662">
        <f>+H7-1</f>
        <v>2022</v>
      </c>
      <c r="J98" s="662"/>
      <c r="K98" s="611" t="s">
        <v>387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388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411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390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412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392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413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394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336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337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396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397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398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399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400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415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303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401</v>
      </c>
      <c r="E116" s="66"/>
      <c r="F116" s="66"/>
      <c r="G116" s="66"/>
      <c r="H116" s="548"/>
      <c r="I116" s="644">
        <f>+H7</f>
        <v>2023</v>
      </c>
      <c r="J116" s="644"/>
      <c r="K116" s="66" t="s">
        <v>416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338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402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417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334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386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302</v>
      </c>
      <c r="E123" s="66"/>
      <c r="F123" s="66"/>
      <c r="G123" s="66"/>
      <c r="H123" s="66"/>
      <c r="I123" s="662">
        <f>+H7-1</f>
        <v>2022</v>
      </c>
      <c r="J123" s="662"/>
      <c r="K123" s="611" t="s">
        <v>404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388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418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390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419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392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420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408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336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337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320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421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321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322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323</v>
      </c>
      <c r="E137" s="66"/>
      <c r="F137" s="66"/>
      <c r="G137" s="66"/>
      <c r="H137" s="646">
        <f>+H7</f>
        <v>2023</v>
      </c>
      <c r="I137" s="646"/>
      <c r="J137" s="66" t="s">
        <v>324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422</v>
      </c>
      <c r="E138" s="66"/>
      <c r="F138" s="66"/>
      <c r="G138" s="578"/>
      <c r="H138" s="578"/>
      <c r="I138" s="644">
        <f>+H7</f>
        <v>2023</v>
      </c>
      <c r="J138" s="644"/>
      <c r="K138" s="66" t="s">
        <v>325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423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424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425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333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302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426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427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327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326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428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429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430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328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431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432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329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433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434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332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330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331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435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436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437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341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438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439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440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441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442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443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342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444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445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446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447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330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301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448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449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450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451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452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453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8" sqref="M148:P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131060676</v>
      </c>
      <c r="J1" s="754"/>
      <c r="K1" s="427"/>
      <c r="L1" s="435" t="s">
        <v>245</v>
      </c>
      <c r="M1" s="431">
        <v>4700</v>
      </c>
      <c r="N1" s="427"/>
      <c r="O1" s="435" t="s">
        <v>239</v>
      </c>
      <c r="P1" s="452">
        <v>29404695</v>
      </c>
      <c r="Q1" s="428"/>
      <c r="R1" s="344" t="s">
        <v>276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456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 t="s">
        <v>454</v>
      </c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КОМИСИЯ ЗА ФИНАНСОВ НАДЗОР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351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30.09.2023 г.</v>
      </c>
      <c r="G11" s="396">
        <f>+P5-1</f>
        <v>2022</v>
      </c>
      <c r="H11" s="15"/>
      <c r="I11" s="589" t="str">
        <f>+O8</f>
        <v>30.09.2023 г.</v>
      </c>
      <c r="J11" s="397">
        <f>+P5-1</f>
        <v>2022</v>
      </c>
      <c r="K11" s="16"/>
      <c r="L11" s="590" t="str">
        <f>+O8</f>
        <v>30.09.2023 г.</v>
      </c>
      <c r="M11" s="398">
        <f>+P5-1</f>
        <v>2022</v>
      </c>
      <c r="N11" s="16"/>
      <c r="O11" s="591" t="str">
        <f>+O8</f>
        <v>30.09.2023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343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344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345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282</v>
      </c>
      <c r="C16" s="152"/>
      <c r="D16" s="153"/>
      <c r="E16" s="15"/>
      <c r="F16" s="234">
        <v>18171702</v>
      </c>
      <c r="G16" s="233">
        <v>18168647</v>
      </c>
      <c r="H16" s="15"/>
      <c r="I16" s="234"/>
      <c r="J16" s="233"/>
      <c r="K16" s="227"/>
      <c r="L16" s="234"/>
      <c r="M16" s="233"/>
      <c r="N16" s="227"/>
      <c r="O16" s="361">
        <f t="shared" si="0"/>
        <v>18171702</v>
      </c>
      <c r="P16" s="384">
        <f t="shared" si="0"/>
        <v>18168647</v>
      </c>
      <c r="Q16" s="31"/>
      <c r="R16" s="750" t="s">
        <v>283</v>
      </c>
      <c r="S16" s="751"/>
      <c r="T16" s="752"/>
      <c r="U16" s="34"/>
      <c r="V16" s="2"/>
      <c r="W16" s="217" t="s">
        <v>346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284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278</v>
      </c>
      <c r="S17" s="733"/>
      <c r="T17" s="734"/>
      <c r="U17" s="34"/>
      <c r="V17" s="2"/>
      <c r="W17" s="215" t="s">
        <v>347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2956774</v>
      </c>
      <c r="G18" s="229">
        <v>4542229</v>
      </c>
      <c r="H18" s="15"/>
      <c r="I18" s="230"/>
      <c r="J18" s="229"/>
      <c r="K18" s="227"/>
      <c r="L18" s="230"/>
      <c r="M18" s="229"/>
      <c r="N18" s="227"/>
      <c r="O18" s="365">
        <f t="shared" si="0"/>
        <v>2956774</v>
      </c>
      <c r="P18" s="378">
        <f t="shared" si="0"/>
        <v>4542229</v>
      </c>
      <c r="Q18" s="31"/>
      <c r="R18" s="696" t="s">
        <v>150</v>
      </c>
      <c r="S18" s="697"/>
      <c r="T18" s="698"/>
      <c r="U18" s="34"/>
      <c r="V18" s="2"/>
      <c r="W18" s="104" t="s">
        <v>348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682" t="s">
        <v>151</v>
      </c>
      <c r="S19" s="683"/>
      <c r="T19" s="684"/>
      <c r="U19" s="34"/>
      <c r="V19" s="2"/>
      <c r="W19" s="217" t="s">
        <v>349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682" t="s">
        <v>152</v>
      </c>
      <c r="S20" s="683"/>
      <c r="T20" s="684"/>
      <c r="U20" s="34"/>
      <c r="V20" s="2"/>
      <c r="W20" s="215" t="s">
        <v>350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351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682" t="s">
        <v>154</v>
      </c>
      <c r="S22" s="683"/>
      <c r="T22" s="684"/>
      <c r="U22" s="34"/>
      <c r="V22" s="2"/>
      <c r="W22" s="217" t="s">
        <v>352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353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51421</v>
      </c>
      <c r="G24" s="233">
        <v>75081</v>
      </c>
      <c r="H24" s="15"/>
      <c r="I24" s="234"/>
      <c r="J24" s="233"/>
      <c r="K24" s="227"/>
      <c r="L24" s="234"/>
      <c r="M24" s="233"/>
      <c r="N24" s="227"/>
      <c r="O24" s="361">
        <f t="shared" si="0"/>
        <v>51421</v>
      </c>
      <c r="P24" s="384">
        <f t="shared" si="0"/>
        <v>75081</v>
      </c>
      <c r="Q24" s="31"/>
      <c r="R24" s="717" t="s">
        <v>279</v>
      </c>
      <c r="S24" s="718"/>
      <c r="T24" s="719"/>
      <c r="U24" s="34"/>
      <c r="V24" s="2"/>
      <c r="W24" s="104" t="s">
        <v>354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21179897</v>
      </c>
      <c r="G25" s="235">
        <f>+ROUND(+SUM(G15,G16,G18,G19,G20,G21,G22,G23,G24),0)</f>
        <v>22785957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21179897</v>
      </c>
      <c r="P25" s="363">
        <f>+ROUND(+SUM(P15,P16,P18,P19,P20,P21,P22,P23,P24),0)</f>
        <v>22785957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6176</v>
      </c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6176</v>
      </c>
      <c r="P28" s="412">
        <f t="shared" si="1"/>
        <v>0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254</v>
      </c>
      <c r="C30" s="145"/>
      <c r="D30" s="146"/>
      <c r="E30" s="15"/>
      <c r="F30" s="236">
        <f>+ROUND(+SUM(F27:F29),0)</f>
        <v>6176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6176</v>
      </c>
      <c r="P30" s="363">
        <f>+ROUND(+SUM(P27:P29),0)</f>
        <v>0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255</v>
      </c>
      <c r="C37" s="145"/>
      <c r="D37" s="146"/>
      <c r="E37" s="15"/>
      <c r="F37" s="248">
        <v>-569501</v>
      </c>
      <c r="G37" s="247">
        <v>-1529630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-569501</v>
      </c>
      <c r="P37" s="363">
        <f t="shared" si="2"/>
        <v>-1529630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1053</v>
      </c>
      <c r="G42" s="247">
        <v>899</v>
      </c>
      <c r="H42" s="15"/>
      <c r="I42" s="248"/>
      <c r="J42" s="247"/>
      <c r="K42" s="227"/>
      <c r="L42" s="248"/>
      <c r="M42" s="247"/>
      <c r="N42" s="227"/>
      <c r="O42" s="362">
        <f>+ROUND(+F42+I42+L42,0)</f>
        <v>1053</v>
      </c>
      <c r="P42" s="363">
        <f>+ROUND(+G42+J42+M42,0)</f>
        <v>899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250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20617625</v>
      </c>
      <c r="G50" s="257">
        <f>+ROUND(G25+G30+G37+G42+G48,0)</f>
        <v>21257226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20617625</v>
      </c>
      <c r="P50" s="380">
        <f>+ROUND(P25+P30+P37+P42+P48,0)</f>
        <v>21257226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3812714</v>
      </c>
      <c r="G53" s="259">
        <v>5069301</v>
      </c>
      <c r="H53" s="15"/>
      <c r="I53" s="260">
        <v>5508</v>
      </c>
      <c r="J53" s="259"/>
      <c r="K53" s="227"/>
      <c r="L53" s="260"/>
      <c r="M53" s="259"/>
      <c r="N53" s="227"/>
      <c r="O53" s="366">
        <f aca="true" t="shared" si="4" ref="O53:P57">+ROUND(+F53+I53+L53,0)</f>
        <v>3818222</v>
      </c>
      <c r="P53" s="359">
        <f t="shared" si="4"/>
        <v>5069301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31838</v>
      </c>
      <c r="G54" s="233">
        <v>36361</v>
      </c>
      <c r="H54" s="15"/>
      <c r="I54" s="234"/>
      <c r="J54" s="233"/>
      <c r="K54" s="227"/>
      <c r="L54" s="234"/>
      <c r="M54" s="233"/>
      <c r="N54" s="227"/>
      <c r="O54" s="361">
        <f t="shared" si="4"/>
        <v>31838</v>
      </c>
      <c r="P54" s="384">
        <f t="shared" si="4"/>
        <v>36361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40508</v>
      </c>
      <c r="G55" s="233">
        <v>41997</v>
      </c>
      <c r="H55" s="15"/>
      <c r="I55" s="234"/>
      <c r="J55" s="233"/>
      <c r="K55" s="227"/>
      <c r="L55" s="234"/>
      <c r="M55" s="233"/>
      <c r="N55" s="227"/>
      <c r="O55" s="361">
        <f t="shared" si="4"/>
        <v>40508</v>
      </c>
      <c r="P55" s="384">
        <f t="shared" si="4"/>
        <v>41997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9509314</v>
      </c>
      <c r="G56" s="233">
        <v>12180657</v>
      </c>
      <c r="H56" s="15"/>
      <c r="I56" s="234"/>
      <c r="J56" s="233"/>
      <c r="K56" s="227"/>
      <c r="L56" s="234"/>
      <c r="M56" s="233"/>
      <c r="N56" s="227"/>
      <c r="O56" s="361">
        <f t="shared" si="4"/>
        <v>9509314</v>
      </c>
      <c r="P56" s="384">
        <f t="shared" si="4"/>
        <v>12180657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1289785</v>
      </c>
      <c r="G57" s="233">
        <v>1628068</v>
      </c>
      <c r="H57" s="15"/>
      <c r="I57" s="234"/>
      <c r="J57" s="233"/>
      <c r="K57" s="227"/>
      <c r="L57" s="234"/>
      <c r="M57" s="233"/>
      <c r="N57" s="227"/>
      <c r="O57" s="361">
        <f t="shared" si="4"/>
        <v>1289785</v>
      </c>
      <c r="P57" s="384">
        <f t="shared" si="4"/>
        <v>1628068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14684159</v>
      </c>
      <c r="G58" s="261">
        <f>+ROUND(+SUM(G53:G57),0)</f>
        <v>18956384</v>
      </c>
      <c r="H58" s="15"/>
      <c r="I58" s="262">
        <f>+ROUND(+SUM(I53:I57),0)</f>
        <v>5508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14689667</v>
      </c>
      <c r="P58" s="382">
        <f>+ROUND(+SUM(P53:P57),0)</f>
        <v>18956384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1680</v>
      </c>
      <c r="G61" s="233">
        <v>356363</v>
      </c>
      <c r="H61" s="15"/>
      <c r="I61" s="234"/>
      <c r="J61" s="233"/>
      <c r="K61" s="227"/>
      <c r="L61" s="234"/>
      <c r="M61" s="233"/>
      <c r="N61" s="227"/>
      <c r="O61" s="361">
        <f t="shared" si="5"/>
        <v>1680</v>
      </c>
      <c r="P61" s="384">
        <f t="shared" si="5"/>
        <v>356363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93735</v>
      </c>
      <c r="G62" s="233">
        <v>558692</v>
      </c>
      <c r="H62" s="15"/>
      <c r="I62" s="234">
        <v>1072698</v>
      </c>
      <c r="J62" s="233">
        <v>959802</v>
      </c>
      <c r="K62" s="227"/>
      <c r="L62" s="234"/>
      <c r="M62" s="233"/>
      <c r="N62" s="227"/>
      <c r="O62" s="361">
        <f t="shared" si="5"/>
        <v>1166433</v>
      </c>
      <c r="P62" s="384">
        <f t="shared" si="5"/>
        <v>1518494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251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95415</v>
      </c>
      <c r="G65" s="261">
        <f>+ROUND(+SUM(G60:G63),0)</f>
        <v>915055</v>
      </c>
      <c r="H65" s="15"/>
      <c r="I65" s="262">
        <f>+ROUND(+SUM(I60:I63),0)</f>
        <v>1072698</v>
      </c>
      <c r="J65" s="261">
        <f>+ROUND(+SUM(J60:J63),0)</f>
        <v>959802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1168113</v>
      </c>
      <c r="P65" s="382">
        <f>+ROUND(+SUM(P60:P63),0)</f>
        <v>1874857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252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257</v>
      </c>
      <c r="C79" s="183"/>
      <c r="D79" s="184"/>
      <c r="E79" s="15"/>
      <c r="F79" s="269">
        <f>+ROUND(F58+F65+F69+F73+F77,0)</f>
        <v>14779574</v>
      </c>
      <c r="G79" s="272">
        <f>+ROUND(G58+G65+G69+G73+G77,0)</f>
        <v>19871439</v>
      </c>
      <c r="H79" s="15"/>
      <c r="I79" s="269">
        <f>+ROUND(I58+I65+I69+I73+I77,0)</f>
        <v>1078206</v>
      </c>
      <c r="J79" s="272">
        <f>+ROUND(J58+J65+J69+J73+J77,0)</f>
        <v>959802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15857780</v>
      </c>
      <c r="P79" s="392">
        <f>+ROUND(P58+P65+P69+P73+P77,0)</f>
        <v>20831241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256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-5789869</v>
      </c>
      <c r="G81" s="229">
        <v>-1318099</v>
      </c>
      <c r="H81" s="15"/>
      <c r="I81" s="230">
        <v>1056985</v>
      </c>
      <c r="J81" s="229">
        <v>889736</v>
      </c>
      <c r="K81" s="227"/>
      <c r="L81" s="230"/>
      <c r="M81" s="229"/>
      <c r="N81" s="227"/>
      <c r="O81" s="365">
        <f>+ROUND(+F81+I81+L81,0)</f>
        <v>-4732884</v>
      </c>
      <c r="P81" s="378">
        <f>+ROUND(+G81+J81+M81,0)</f>
        <v>-428363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258</v>
      </c>
      <c r="C83" s="142"/>
      <c r="D83" s="143"/>
      <c r="E83" s="15"/>
      <c r="F83" s="271">
        <f>+ROUND(F81+F82,0)</f>
        <v>-5789869</v>
      </c>
      <c r="G83" s="270">
        <f>+ROUND(G81+G82,0)</f>
        <v>-1318099</v>
      </c>
      <c r="H83" s="15"/>
      <c r="I83" s="271">
        <f>+ROUND(I81+I82,0)</f>
        <v>1056985</v>
      </c>
      <c r="J83" s="270">
        <f>+ROUND(J81+J82,0)</f>
        <v>889736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-4732884</v>
      </c>
      <c r="P83" s="387">
        <f>+ROUND(P81+P82,0)</f>
        <v>-428363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259</v>
      </c>
      <c r="C85" s="138"/>
      <c r="D85" s="139"/>
      <c r="E85" s="15"/>
      <c r="F85" s="292">
        <f>+ROUND(F50,0)-ROUND(F79,0)+ROUND(F83,0)</f>
        <v>48182</v>
      </c>
      <c r="G85" s="291">
        <f>+ROUND(G50,0)-ROUND(G79,0)+ROUND(G83,0)</f>
        <v>67688</v>
      </c>
      <c r="H85" s="15"/>
      <c r="I85" s="292">
        <f>+ROUND(I50,0)-ROUND(I79,0)+ROUND(I83,0)</f>
        <v>-21221</v>
      </c>
      <c r="J85" s="291">
        <f>+ROUND(J50,0)-ROUND(J79,0)+ROUND(J83,0)</f>
        <v>-70066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26961</v>
      </c>
      <c r="P85" s="389">
        <f>+ROUND(P50,0)-ROUND(P79,0)+ROUND(P83,0)</f>
        <v>-2378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-48182</v>
      </c>
      <c r="G86" s="293">
        <f>+ROUND(G103,0)+ROUND(G122,0)+ROUND(G129,0)-ROUND(G134,0)</f>
        <v>-67688</v>
      </c>
      <c r="H86" s="15"/>
      <c r="I86" s="294">
        <f>+ROUND(I103,0)+ROUND(I122,0)+ROUND(I129,0)-ROUND(I134,0)</f>
        <v>21221</v>
      </c>
      <c r="J86" s="293">
        <f>+ROUND(J103,0)+ROUND(J122,0)+ROUND(J129,0)-ROUND(J134,0)</f>
        <v>70066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-26961</v>
      </c>
      <c r="P86" s="391">
        <f>+ROUND(P103,0)+ROUND(P122,0)+ROUND(P129,0)-ROUND(P134,0)</f>
        <v>2378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253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260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277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261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-80</v>
      </c>
      <c r="G118" s="259">
        <v>2276</v>
      </c>
      <c r="H118" s="15"/>
      <c r="I118" s="260"/>
      <c r="J118" s="259"/>
      <c r="K118" s="227"/>
      <c r="L118" s="260">
        <v>673</v>
      </c>
      <c r="M118" s="259">
        <v>-94177</v>
      </c>
      <c r="N118" s="227"/>
      <c r="O118" s="366">
        <f>+ROUND(+F118+I118+L118,0)</f>
        <v>593</v>
      </c>
      <c r="P118" s="359">
        <f>+ROUND(+G118+J118+M118,0)</f>
        <v>-91901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-80</v>
      </c>
      <c r="G120" s="261">
        <f>+ROUND(+SUM(G118:G119),0)</f>
        <v>2276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673</v>
      </c>
      <c r="M120" s="261">
        <f>+ROUND(+SUM(M118:M119),0)</f>
        <v>-94177</v>
      </c>
      <c r="N120" s="227"/>
      <c r="O120" s="381">
        <f>+ROUND(+SUM(O118:O119),0)</f>
        <v>593</v>
      </c>
      <c r="P120" s="382">
        <f>+ROUND(+SUM(P118:P119),0)</f>
        <v>-91901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-80</v>
      </c>
      <c r="G122" s="272">
        <f>+ROUND(G108+G112+G116+G120,0)</f>
        <v>2276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673</v>
      </c>
      <c r="M122" s="272">
        <f>+ROUND(M108+M112+M116+M120,0)</f>
        <v>-94177</v>
      </c>
      <c r="N122" s="227"/>
      <c r="O122" s="385">
        <f>+ROUND(O108+O112+O116+O120,0)</f>
        <v>593</v>
      </c>
      <c r="P122" s="392">
        <f>+ROUND(P108+P112+P116+P120,0)</f>
        <v>-91901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-21221</v>
      </c>
      <c r="G125" s="233">
        <v>-70066</v>
      </c>
      <c r="H125" s="15"/>
      <c r="I125" s="234">
        <v>21221</v>
      </c>
      <c r="J125" s="233">
        <v>70066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11" t="s">
        <v>285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280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281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-21221</v>
      </c>
      <c r="G129" s="270">
        <f>+ROUND(+SUM(G124,G125,G126,G128),0)</f>
        <v>-70066</v>
      </c>
      <c r="H129" s="15"/>
      <c r="I129" s="271">
        <f>+ROUND(+SUM(I124,I125,I126,I128),0)</f>
        <v>21221</v>
      </c>
      <c r="J129" s="270">
        <f>+ROUND(+SUM(J124,J125,J126,J128),0)</f>
        <v>70066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291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327</v>
      </c>
      <c r="G131" s="229">
        <v>429</v>
      </c>
      <c r="H131" s="15"/>
      <c r="I131" s="230"/>
      <c r="J131" s="229"/>
      <c r="K131" s="227"/>
      <c r="L131" s="230">
        <v>11348</v>
      </c>
      <c r="M131" s="229">
        <v>105525</v>
      </c>
      <c r="N131" s="227"/>
      <c r="O131" s="365">
        <f aca="true" t="shared" si="8" ref="O131:P133">+ROUND(+F131+I131+L131,0)</f>
        <v>11675</v>
      </c>
      <c r="P131" s="378">
        <f t="shared" si="8"/>
        <v>105954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290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27208</v>
      </c>
      <c r="G133" s="233">
        <v>327</v>
      </c>
      <c r="H133" s="15"/>
      <c r="I133" s="234"/>
      <c r="J133" s="233"/>
      <c r="K133" s="227"/>
      <c r="L133" s="234">
        <v>12021</v>
      </c>
      <c r="M133" s="233">
        <v>11348</v>
      </c>
      <c r="N133" s="227"/>
      <c r="O133" s="361">
        <f t="shared" si="8"/>
        <v>39229</v>
      </c>
      <c r="P133" s="384">
        <f t="shared" si="8"/>
        <v>11675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292</v>
      </c>
      <c r="C134" s="178"/>
      <c r="D134" s="179"/>
      <c r="E134" s="15"/>
      <c r="F134" s="276">
        <f>+ROUND(+F133-F131-F132,0)</f>
        <v>26881</v>
      </c>
      <c r="G134" s="275">
        <f>+ROUND(+G133-G131-G132,0)</f>
        <v>-102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673</v>
      </c>
      <c r="M134" s="275">
        <f>+ROUND(+M133-M131-M132,0)</f>
        <v>-94177</v>
      </c>
      <c r="N134" s="227"/>
      <c r="O134" s="394">
        <f>+ROUND(+O133-O131-O132,0)</f>
        <v>27554</v>
      </c>
      <c r="P134" s="395">
        <f>+ROUND(+P133-P131-P132,0)</f>
        <v>-94279</v>
      </c>
      <c r="Q134" s="31"/>
      <c r="R134" s="687" t="s">
        <v>294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293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288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308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296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305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289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304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309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295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300</v>
      </c>
      <c r="C142" s="534"/>
      <c r="D142" s="535"/>
      <c r="E142" s="15"/>
      <c r="F142" s="536">
        <f>+F134+F140</f>
        <v>26881</v>
      </c>
      <c r="G142" s="537">
        <f>+G134+G140</f>
        <v>-102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673</v>
      </c>
      <c r="M142" s="537">
        <f>+M134+M140</f>
        <v>-94177</v>
      </c>
      <c r="N142" s="227"/>
      <c r="O142" s="394">
        <f>+O134+O140</f>
        <v>27554</v>
      </c>
      <c r="P142" s="395">
        <f>+P134+P140</f>
        <v>-94279</v>
      </c>
      <c r="Q142" s="31"/>
      <c r="R142" s="788" t="s">
        <v>297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16102023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/>
      <c r="G148" s="792"/>
      <c r="H148" s="792"/>
      <c r="I148" s="793"/>
      <c r="J148" s="346"/>
      <c r="K148" s="16"/>
      <c r="L148" s="346" t="s">
        <v>234</v>
      </c>
      <c r="M148" s="791"/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272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273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274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275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313</v>
      </c>
      <c r="G159" s="555" t="s">
        <v>313</v>
      </c>
      <c r="I159" s="557" t="s">
        <v>310</v>
      </c>
      <c r="J159" s="559" t="s">
        <v>310</v>
      </c>
      <c r="K159" s="11"/>
      <c r="L159" s="560" t="s">
        <v>311</v>
      </c>
      <c r="M159" s="561" t="s">
        <v>311</v>
      </c>
      <c r="N159" s="11"/>
      <c r="O159" s="573" t="s">
        <v>312</v>
      </c>
      <c r="P159" s="574" t="s">
        <v>312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318</v>
      </c>
      <c r="C160" s="552"/>
      <c r="D160" s="553"/>
      <c r="F160" s="565">
        <f>+F133+F139</f>
        <v>27208</v>
      </c>
      <c r="G160" s="566">
        <f>+G133+G139</f>
        <v>327</v>
      </c>
      <c r="I160" s="565">
        <f>+I133+I139</f>
        <v>0</v>
      </c>
      <c r="J160" s="566">
        <f>+J133+J139</f>
        <v>0</v>
      </c>
      <c r="K160" s="227"/>
      <c r="L160" s="565">
        <f>+L133+L139</f>
        <v>12021</v>
      </c>
      <c r="M160" s="566">
        <f>+M133+M139</f>
        <v>11348</v>
      </c>
      <c r="N160" s="227"/>
      <c r="O160" s="569">
        <f>+ROUND(+F160+I160+L160,0)</f>
        <v>39229</v>
      </c>
      <c r="P160" s="570">
        <f>+ROUND(+G160+J160+M160,0)</f>
        <v>11675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314</v>
      </c>
      <c r="C161" s="772">
        <f>+'Cash-Flow-2023-Leva'!P5</f>
        <v>2023</v>
      </c>
      <c r="D161" s="773"/>
      <c r="F161" s="562">
        <v>27208</v>
      </c>
      <c r="G161" s="563">
        <v>327</v>
      </c>
      <c r="I161" s="562"/>
      <c r="J161" s="563"/>
      <c r="K161" s="227"/>
      <c r="L161" s="562">
        <v>12021</v>
      </c>
      <c r="M161" s="563">
        <v>11348</v>
      </c>
      <c r="N161" s="227"/>
      <c r="O161" s="571">
        <f>+ROUND(+F161+I161+L161,0)</f>
        <v>39229</v>
      </c>
      <c r="P161" s="572">
        <f>+ROUND(+G161+J161+M161,0)</f>
        <v>11675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30.09.2023 г.</v>
      </c>
      <c r="G162" s="556">
        <f>+G11</f>
        <v>2022</v>
      </c>
      <c r="I162" s="594" t="str">
        <f>+I11</f>
        <v>30.09.2023 г.</v>
      </c>
      <c r="J162" s="558">
        <f>+J11</f>
        <v>2022</v>
      </c>
      <c r="K162" s="11"/>
      <c r="L162" s="595" t="str">
        <f>+L11</f>
        <v>30.09.2023 г.</v>
      </c>
      <c r="M162" s="561">
        <f>+M11</f>
        <v>2022</v>
      </c>
      <c r="N162" s="11"/>
      <c r="O162" s="596" t="str">
        <f>+O11</f>
        <v>30.09.2023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315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319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316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317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7" sqref="M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КОМИСИЯ ЗА ФИНАНСОВ НАДЗОР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131060676</v>
      </c>
      <c r="J1" s="808"/>
      <c r="K1" s="439"/>
      <c r="L1" s="440" t="s">
        <v>245</v>
      </c>
      <c r="M1" s="441">
        <f>+'Cash-Flow-2023-Leva'!M1</f>
        <v>4700</v>
      </c>
      <c r="N1" s="439"/>
      <c r="O1" s="440" t="s">
        <v>239</v>
      </c>
      <c r="P1" s="451">
        <f>+'Cash-Flow-2023-Leva'!P1</f>
        <v>29404695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УЛ. БУДАПЕЩА,16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 t="str">
        <f>+'Cash-Flow-2023-Leva'!M3:P3</f>
        <v>vasileva_m@fsc.bg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КОМИСИЯ ЗА ФИНАНСОВ НАДЗОР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30.09.2023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30.09.2023 г.</v>
      </c>
      <c r="G11" s="396">
        <f>+'Cash-Flow-2023-Leva'!G11</f>
        <v>2022</v>
      </c>
      <c r="H11" s="5"/>
      <c r="I11" s="589" t="str">
        <f>+O8</f>
        <v>30.09.2023 г.</v>
      </c>
      <c r="J11" s="397">
        <f>+'Cash-Flow-2023-Leva'!J11</f>
        <v>2022</v>
      </c>
      <c r="K11" s="5"/>
      <c r="L11" s="590" t="str">
        <f>+O8</f>
        <v>30.09.2023 г.</v>
      </c>
      <c r="M11" s="398">
        <f>+'Cash-Flow-2023-Leva'!M11</f>
        <v>2022</v>
      </c>
      <c r="N11" s="462"/>
      <c r="O11" s="591" t="str">
        <f>+O8</f>
        <v>30.09.2023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282</v>
      </c>
      <c r="C16" s="152"/>
      <c r="D16" s="153"/>
      <c r="E16" s="277"/>
      <c r="F16" s="268">
        <f>+'Cash-Flow-2023-Leva'!F16/1000</f>
        <v>18171.702</v>
      </c>
      <c r="G16" s="267">
        <f>+'Cash-Flow-2023-Leva'!G16/1000</f>
        <v>18168.647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18171.702</v>
      </c>
      <c r="P16" s="384">
        <f t="shared" si="1"/>
        <v>18168.647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284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2956.774</v>
      </c>
      <c r="G18" s="255">
        <f>+'Cash-Flow-2023-Leva'!G18/1000</f>
        <v>4542.229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2956.774</v>
      </c>
      <c r="P18" s="378">
        <f t="shared" si="1"/>
        <v>4542.229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0</v>
      </c>
      <c r="G19" s="278">
        <f>+'Cash-Flow-2023-Leva'!G19/1000</f>
        <v>0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0</v>
      </c>
      <c r="G20" s="278">
        <f>+'Cash-Flow-2023-Leva'!G20/1000</f>
        <v>0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51.421</v>
      </c>
      <c r="G24" s="267">
        <f>+'Cash-Flow-2023-Leva'!G24/1000</f>
        <v>75.081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51.421</v>
      </c>
      <c r="P24" s="384">
        <f t="shared" si="1"/>
        <v>75.081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21179.897</v>
      </c>
      <c r="G25" s="235">
        <f>+SUM(G15,G16,G18,G19,G20,G21,G22,G23,G24)</f>
        <v>22785.957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21179.897</v>
      </c>
      <c r="P25" s="363">
        <f>+SUM(P15,P16,P18,P19,P20,P21,P22,P23,P24)</f>
        <v>22785.957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6.176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6.176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254</v>
      </c>
      <c r="C30" s="145"/>
      <c r="D30" s="146"/>
      <c r="E30" s="277"/>
      <c r="F30" s="236">
        <f>+SUM(F27:F29)</f>
        <v>6.176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6.176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255</v>
      </c>
      <c r="C37" s="145"/>
      <c r="D37" s="146"/>
      <c r="E37" s="277"/>
      <c r="F37" s="236">
        <f>+'Cash-Flow-2023-Leva'!F37/1000</f>
        <v>-569.501</v>
      </c>
      <c r="G37" s="235">
        <f>+'Cash-Flow-2023-Leva'!G37/1000</f>
        <v>-1529.63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-569.501</v>
      </c>
      <c r="P37" s="363">
        <f t="shared" si="3"/>
        <v>-1529.63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0</v>
      </c>
      <c r="G38" s="280">
        <f>+'Cash-Flow-2023-Leva'!G38/1000</f>
        <v>0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0</v>
      </c>
      <c r="G39" s="282">
        <f>+'Cash-Flow-2023-Leva'!G39/1000</f>
        <v>0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1.053</v>
      </c>
      <c r="G42" s="235">
        <f>+'Cash-Flow-2023-Leva'!G42/1000</f>
        <v>0.899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1.053</v>
      </c>
      <c r="P42" s="363">
        <f>+G42+J42+M42</f>
        <v>0.899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250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20617.625</v>
      </c>
      <c r="G50" s="257">
        <f>+G25+G30+G37+G42+G48</f>
        <v>21257.226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20617.625</v>
      </c>
      <c r="P50" s="380">
        <f>+P25+P30+P37+P42+P48</f>
        <v>21257.226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3812.714</v>
      </c>
      <c r="G53" s="228">
        <f>+'Cash-Flow-2023-Leva'!G53/1000</f>
        <v>5069.301</v>
      </c>
      <c r="H53" s="277"/>
      <c r="I53" s="238">
        <f>+'Cash-Flow-2023-Leva'!I53/1000</f>
        <v>5.508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3818.2219999999998</v>
      </c>
      <c r="P53" s="359">
        <f t="shared" si="5"/>
        <v>5069.301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31.838</v>
      </c>
      <c r="G54" s="267">
        <f>+'Cash-Flow-2023-Leva'!G54/1000</f>
        <v>36.361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31.838</v>
      </c>
      <c r="P54" s="384">
        <f t="shared" si="5"/>
        <v>36.361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40.508</v>
      </c>
      <c r="G55" s="267">
        <f>+'Cash-Flow-2023-Leva'!G55/1000</f>
        <v>41.997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40.508</v>
      </c>
      <c r="P55" s="384">
        <f t="shared" si="5"/>
        <v>41.997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9509.314</v>
      </c>
      <c r="G56" s="267">
        <f>+'Cash-Flow-2023-Leva'!G56/1000</f>
        <v>12180.657</v>
      </c>
      <c r="H56" s="277"/>
      <c r="I56" s="268">
        <f>+'Cash-Flow-2023-Leva'!I56/1000</f>
        <v>0</v>
      </c>
      <c r="J56" s="267">
        <f>+'Cash-Flow-2023-Leva'!J56/1000</f>
        <v>0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9509.314</v>
      </c>
      <c r="P56" s="384">
        <f t="shared" si="5"/>
        <v>12180.657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1289.785</v>
      </c>
      <c r="G57" s="267">
        <f>+'Cash-Flow-2023-Leva'!G57/1000</f>
        <v>1628.068</v>
      </c>
      <c r="H57" s="277"/>
      <c r="I57" s="268">
        <f>+'Cash-Flow-2023-Leva'!I57/1000</f>
        <v>0</v>
      </c>
      <c r="J57" s="267">
        <f>+'Cash-Flow-2023-Leva'!J57/1000</f>
        <v>0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1289.785</v>
      </c>
      <c r="P57" s="384">
        <f t="shared" si="5"/>
        <v>1628.068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14684.159</v>
      </c>
      <c r="G58" s="261">
        <f>+SUM(G53:G57)</f>
        <v>18956.384</v>
      </c>
      <c r="H58" s="277"/>
      <c r="I58" s="262">
        <f>+SUM(I53:I57)</f>
        <v>5.508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14689.667</v>
      </c>
      <c r="P58" s="382">
        <f>+SUM(P53:P57)</f>
        <v>18956.384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1.68</v>
      </c>
      <c r="G61" s="267">
        <f>+'Cash-Flow-2023-Leva'!G61/1000</f>
        <v>356.363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1.68</v>
      </c>
      <c r="P61" s="384">
        <f t="shared" si="6"/>
        <v>356.363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93.735</v>
      </c>
      <c r="G62" s="267">
        <f>+'Cash-Flow-2023-Leva'!G62/1000</f>
        <v>558.692</v>
      </c>
      <c r="H62" s="277"/>
      <c r="I62" s="268">
        <f>+'Cash-Flow-2023-Leva'!I62/1000</f>
        <v>1072.698</v>
      </c>
      <c r="J62" s="267">
        <f>+'Cash-Flow-2023-Leva'!J62/1000</f>
        <v>959.802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1166.433</v>
      </c>
      <c r="P62" s="384">
        <f t="shared" si="6"/>
        <v>1518.4940000000001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251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95.415</v>
      </c>
      <c r="G65" s="261">
        <f>+SUM(G60:G63)</f>
        <v>915.0550000000001</v>
      </c>
      <c r="H65" s="277"/>
      <c r="I65" s="262">
        <f>+SUM(I60:I63)</f>
        <v>1072.698</v>
      </c>
      <c r="J65" s="261">
        <f>+SUM(J60:J63)</f>
        <v>959.802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1168.113</v>
      </c>
      <c r="P65" s="382">
        <f>+SUM(P60:P63)</f>
        <v>1874.8570000000002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252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0</v>
      </c>
      <c r="G71" s="228">
        <f>+'Cash-Flow-2023-Leva'!G71/1000</f>
        <v>0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257</v>
      </c>
      <c r="C79" s="183"/>
      <c r="D79" s="184"/>
      <c r="E79" s="277"/>
      <c r="F79" s="269">
        <f>+F58+F65+F69+F73+F77</f>
        <v>14779.574</v>
      </c>
      <c r="G79" s="272">
        <f>+G58+G65+G69+G73+G77</f>
        <v>19871.439</v>
      </c>
      <c r="H79" s="277"/>
      <c r="I79" s="269">
        <f>+I58+I65+I69+I73+I77</f>
        <v>1078.2060000000001</v>
      </c>
      <c r="J79" s="272">
        <f>+J58+J65+J69+J73+J77</f>
        <v>959.802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15857.779999999999</v>
      </c>
      <c r="P79" s="392">
        <f>+P58+P65+P69+P73+P77</f>
        <v>20831.240999999998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256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-5789.869</v>
      </c>
      <c r="G81" s="255">
        <f>+'Cash-Flow-2023-Leva'!G81/1000</f>
        <v>-1318.099</v>
      </c>
      <c r="H81" s="277"/>
      <c r="I81" s="256">
        <f>+'Cash-Flow-2023-Leva'!I81/1000</f>
        <v>1056.985</v>
      </c>
      <c r="J81" s="255">
        <f>+'Cash-Flow-2023-Leva'!J81/1000</f>
        <v>889.736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-4732.884</v>
      </c>
      <c r="P81" s="378">
        <f>+G81+J81+M81</f>
        <v>-428.36299999999994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258</v>
      </c>
      <c r="C83" s="142"/>
      <c r="D83" s="143"/>
      <c r="E83" s="277"/>
      <c r="F83" s="271">
        <f>+F81+F82</f>
        <v>-5789.869</v>
      </c>
      <c r="G83" s="270">
        <f>+G81+G82</f>
        <v>-1318.099</v>
      </c>
      <c r="H83" s="277"/>
      <c r="I83" s="271">
        <f>+I81+I82</f>
        <v>1056.985</v>
      </c>
      <c r="J83" s="270">
        <f>+J81+J82</f>
        <v>889.736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-4732.884</v>
      </c>
      <c r="P83" s="387">
        <f>+P81+P82</f>
        <v>-428.36299999999994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259</v>
      </c>
      <c r="C85" s="138"/>
      <c r="D85" s="139"/>
      <c r="E85" s="277"/>
      <c r="F85" s="292">
        <f>+F50-F79+F83</f>
        <v>48.18199999999979</v>
      </c>
      <c r="G85" s="291">
        <f>+G50-G79+G83</f>
        <v>67.68800000000033</v>
      </c>
      <c r="H85" s="277"/>
      <c r="I85" s="292">
        <f>+I50-I79+I83</f>
        <v>-21.22100000000023</v>
      </c>
      <c r="J85" s="291">
        <f>+J50-J79+J83</f>
        <v>-70.06600000000003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26.96100000000115</v>
      </c>
      <c r="P85" s="389">
        <f>+P50-P79+P83</f>
        <v>-2.3779999999993606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-48.181999999999995</v>
      </c>
      <c r="G86" s="293">
        <f>+G103+G122+G129-G134</f>
        <v>-67.688</v>
      </c>
      <c r="H86" s="277"/>
      <c r="I86" s="294">
        <f>+I103+I122+I129-I134</f>
        <v>21.221</v>
      </c>
      <c r="J86" s="293">
        <f>+J103+J122+J129-J134</f>
        <v>70.066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-26.961</v>
      </c>
      <c r="P86" s="391">
        <f>+P103+P122+P129-P134</f>
        <v>2.378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253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260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277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261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-0.08</v>
      </c>
      <c r="G118" s="228">
        <f>+'Cash-Flow-2023-Leva'!G118/1000</f>
        <v>2.276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0.673</v>
      </c>
      <c r="M118" s="228">
        <f>+'Cash-Flow-2023-Leva'!M118/1000</f>
        <v>-94.177</v>
      </c>
      <c r="N118" s="463"/>
      <c r="O118" s="366">
        <f>+F118+I118+L118</f>
        <v>0.5930000000000001</v>
      </c>
      <c r="P118" s="359">
        <f>+G118+J118+M118</f>
        <v>-91.90100000000001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-0.08</v>
      </c>
      <c r="G120" s="261">
        <f>+SUM(G118:G119)</f>
        <v>2.276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0.673</v>
      </c>
      <c r="M120" s="261">
        <f>+SUM(M118:M119)</f>
        <v>-94.177</v>
      </c>
      <c r="N120" s="463"/>
      <c r="O120" s="381">
        <f>+SUM(O118:O119)</f>
        <v>0.5930000000000001</v>
      </c>
      <c r="P120" s="382">
        <f>+SUM(P118:P119)</f>
        <v>-91.90100000000001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-0.08</v>
      </c>
      <c r="G122" s="272">
        <f>+G108+G112+G116+G120</f>
        <v>2.276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0.673</v>
      </c>
      <c r="M122" s="272">
        <f>+M108+M112+M116+M120</f>
        <v>-94.177</v>
      </c>
      <c r="N122" s="463"/>
      <c r="O122" s="385">
        <f>+O108+O112+O116+O120</f>
        <v>0.5930000000000001</v>
      </c>
      <c r="P122" s="392">
        <f>+P108+P112+P116+P120</f>
        <v>-91.90100000000001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-21.221</v>
      </c>
      <c r="G125" s="267">
        <f>+'Cash-Flow-2023-Leva'!G125/1000</f>
        <v>-70.066</v>
      </c>
      <c r="H125" s="277"/>
      <c r="I125" s="268">
        <f>+'Cash-Flow-2023-Leva'!I125/1000</f>
        <v>21.221</v>
      </c>
      <c r="J125" s="267">
        <f>+'Cash-Flow-2023-Leva'!J125/1000</f>
        <v>70.066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0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280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-21.221</v>
      </c>
      <c r="G129" s="270">
        <f>+SUM(G124,G125,G126,G128)</f>
        <v>-70.066</v>
      </c>
      <c r="H129" s="277"/>
      <c r="I129" s="271">
        <f>+SUM(I124,I125,I126,I128)</f>
        <v>21.221</v>
      </c>
      <c r="J129" s="270">
        <f>+SUM(J124,J125,J126,J128)</f>
        <v>70.066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0.327</v>
      </c>
      <c r="G131" s="255">
        <f>+'Cash-Flow-2023-Leva'!G131/1000</f>
        <v>0.429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11.348</v>
      </c>
      <c r="M131" s="255">
        <f>+'Cash-Flow-2023-Leva'!M131/1000</f>
        <v>105.525</v>
      </c>
      <c r="N131" s="463"/>
      <c r="O131" s="365">
        <f aca="true" t="shared" si="9" ref="O131:P133">+F131+I131+L131</f>
        <v>11.675</v>
      </c>
      <c r="P131" s="378">
        <f t="shared" si="9"/>
        <v>105.95400000000001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290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27.208</v>
      </c>
      <c r="G133" s="267">
        <f>+'Cash-Flow-2023-Leva'!G133/1000</f>
        <v>0.327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12.021</v>
      </c>
      <c r="M133" s="267">
        <f>+'Cash-Flow-2023-Leva'!M133/1000</f>
        <v>11.348</v>
      </c>
      <c r="N133" s="463"/>
      <c r="O133" s="361">
        <f t="shared" si="9"/>
        <v>39.229</v>
      </c>
      <c r="P133" s="384">
        <f t="shared" si="9"/>
        <v>11.675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26.880999999999997</v>
      </c>
      <c r="G134" s="275">
        <f>+G133-G131-G132</f>
        <v>-0.10199999999999998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0.673</v>
      </c>
      <c r="M134" s="275">
        <f>+M133-M131-M132</f>
        <v>-94.177</v>
      </c>
      <c r="N134" s="463"/>
      <c r="O134" s="394">
        <f>+O133-O131-O132</f>
        <v>27.554</v>
      </c>
      <c r="P134" s="395">
        <f>+P133-P131-P132</f>
        <v>-94.27900000000001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293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288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296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289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309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300</v>
      </c>
      <c r="C142" s="534"/>
      <c r="D142" s="535"/>
      <c r="E142" s="277"/>
      <c r="F142" s="276">
        <f>+F134+F140</f>
        <v>26.880999999999997</v>
      </c>
      <c r="G142" s="275">
        <f>+G134+G140</f>
        <v>-0.10199999999999998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0.673</v>
      </c>
      <c r="M142" s="537">
        <f>+M134+M140</f>
        <v>-94.177</v>
      </c>
      <c r="N142" s="463"/>
      <c r="O142" s="549">
        <f>+O134+O140</f>
        <v>27.554</v>
      </c>
      <c r="P142" s="550">
        <f>+P134+P140</f>
        <v>-94.27900000000001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16102023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272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273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270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271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307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306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2020-03-18T16:57:49Z</cp:lastPrinted>
  <dcterms:created xsi:type="dcterms:W3CDTF">2015-12-01T07:17:04Z</dcterms:created>
  <dcterms:modified xsi:type="dcterms:W3CDTF">2023-10-18T08:16:30Z</dcterms:modified>
  <cp:category/>
  <cp:version/>
  <cp:contentType/>
  <cp:contentStatus/>
</cp:coreProperties>
</file>