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<sst xmlns="http://schemas.openxmlformats.org/spreadsheetml/2006/main" count="672" uniqueCount="462">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</sst>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4" fillId="32" borderId="0" xfId="62" applyFont="1" applyFill="1" applyAlignment="1" applyProtection="1">
      <alignment horizontal="right"/>
      <protection/>
    </xf>
    <xf numFmtId="0" fontId="155" fillId="32" borderId="0" xfId="62" applyFont="1" applyFill="1" applyBorder="1" applyAlignment="1" applyProtection="1">
      <alignment horizontal="center"/>
      <protection/>
    </xf>
    <xf numFmtId="176" fontId="156" fillId="32" borderId="0" xfId="65" applyNumberFormat="1" applyFont="1" applyFill="1" applyAlignment="1" applyProtection="1">
      <alignment/>
      <protection/>
    </xf>
    <xf numFmtId="0" fontId="157" fillId="32" borderId="0" xfId="57" applyFont="1" applyFill="1" applyAlignment="1" applyProtection="1" quotePrefix="1">
      <alignment/>
      <protection/>
    </xf>
    <xf numFmtId="0" fontId="156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8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6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9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0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6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1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2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0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3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4" fillId="33" borderId="27" xfId="0" applyNumberFormat="1" applyFont="1" applyFill="1" applyBorder="1" applyAlignment="1" applyProtection="1">
      <alignment horizontal="center"/>
      <protection locked="0"/>
    </xf>
    <xf numFmtId="185" fontId="164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5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6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8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1" fillId="39" borderId="102" xfId="0" applyNumberFormat="1" applyFont="1" applyFill="1" applyBorder="1" applyAlignment="1" applyProtection="1" quotePrefix="1">
      <alignment horizontal="center"/>
      <protection/>
    </xf>
    <xf numFmtId="193" fontId="167" fillId="41" borderId="102" xfId="0" applyNumberFormat="1" applyFont="1" applyFill="1" applyBorder="1" applyAlignment="1" applyProtection="1" quotePrefix="1">
      <alignment horizontal="center"/>
      <protection/>
    </xf>
    <xf numFmtId="193" fontId="168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9" fillId="38" borderId="104" xfId="0" applyNumberFormat="1" applyFont="1" applyFill="1" applyBorder="1" applyAlignment="1" applyProtection="1">
      <alignment horizontal="center"/>
      <protection/>
    </xf>
    <xf numFmtId="184" fontId="169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0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1" fillId="48" borderId="0" xfId="61" applyFont="1" applyFill="1" applyBorder="1" applyAlignment="1" applyProtection="1">
      <alignment horizontal="center"/>
      <protection/>
    </xf>
    <xf numFmtId="176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2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2" fillId="35" borderId="0" xfId="64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7" fillId="32" borderId="0" xfId="65" applyNumberFormat="1" applyFont="1" applyFill="1" applyAlignment="1" applyProtection="1">
      <alignment/>
      <protection/>
    </xf>
    <xf numFmtId="0" fontId="156" fillId="35" borderId="0" xfId="64" applyFont="1" applyFill="1" applyBorder="1" applyProtection="1">
      <alignment/>
      <protection/>
    </xf>
    <xf numFmtId="0" fontId="173" fillId="35" borderId="0" xfId="64" applyFont="1" applyFill="1" applyBorder="1" applyProtection="1">
      <alignment/>
      <protection/>
    </xf>
    <xf numFmtId="0" fontId="173" fillId="35" borderId="0" xfId="64" applyFont="1" applyFill="1" applyProtection="1">
      <alignment/>
      <protection/>
    </xf>
    <xf numFmtId="182" fontId="174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5" fillId="33" borderId="27" xfId="64" applyNumberFormat="1" applyFont="1" applyFill="1" applyBorder="1" applyAlignment="1" applyProtection="1">
      <alignment horizontal="center" vertical="center"/>
      <protection/>
    </xf>
    <xf numFmtId="174" fontId="176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7" fillId="33" borderId="71" xfId="0" applyNumberFormat="1" applyFont="1" applyFill="1" applyBorder="1" applyAlignment="1" applyProtection="1" quotePrefix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7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7" fillId="33" borderId="116" xfId="0" applyNumberFormat="1" applyFont="1" applyFill="1" applyBorder="1" applyAlignment="1" applyProtection="1" quotePrefix="1">
      <alignment/>
      <protection/>
    </xf>
    <xf numFmtId="176" fontId="177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7" fillId="32" borderId="116" xfId="0" applyNumberFormat="1" applyFont="1" applyFill="1" applyBorder="1" applyAlignment="1" applyProtection="1" quotePrefix="1">
      <alignment/>
      <protection/>
    </xf>
    <xf numFmtId="176" fontId="178" fillId="32" borderId="32" xfId="0" applyNumberFormat="1" applyFont="1" applyFill="1" applyBorder="1" applyAlignment="1" applyProtection="1" quotePrefix="1">
      <alignment/>
      <protection/>
    </xf>
    <xf numFmtId="176" fontId="177" fillId="33" borderId="86" xfId="0" applyNumberFormat="1" applyFont="1" applyFill="1" applyBorder="1" applyAlignment="1" applyProtection="1" quotePrefix="1">
      <alignment/>
      <protection/>
    </xf>
    <xf numFmtId="176" fontId="178" fillId="33" borderId="87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79" fillId="51" borderId="118" xfId="0" applyNumberFormat="1" applyFont="1" applyFill="1" applyBorder="1" applyAlignment="1" applyProtection="1">
      <alignment horizontal="center"/>
      <protection/>
    </xf>
    <xf numFmtId="184" fontId="180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180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2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9" fillId="38" borderId="119" xfId="0" applyNumberFormat="1" applyFont="1" applyFill="1" applyBorder="1" applyAlignment="1" applyProtection="1">
      <alignment horizontal="center"/>
      <protection/>
    </xf>
    <xf numFmtId="184" fontId="169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4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0" fillId="32" borderId="0" xfId="0" applyNumberFormat="1" applyFont="1" applyFill="1" applyBorder="1" applyAlignment="1" applyProtection="1" quotePrefix="1">
      <alignment horizontal="center"/>
      <protection/>
    </xf>
    <xf numFmtId="176" fontId="170" fillId="33" borderId="0" xfId="0" applyNumberFormat="1" applyFont="1" applyFill="1" applyBorder="1" applyAlignment="1" applyProtection="1" quotePrefix="1">
      <alignment horizontal="center"/>
      <protection/>
    </xf>
    <xf numFmtId="0" fontId="171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6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6" fillId="32" borderId="68" xfId="57" applyFont="1" applyFill="1" applyBorder="1" quotePrefix="1">
      <alignment/>
      <protection/>
    </xf>
    <xf numFmtId="0" fontId="156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6" fillId="32" borderId="17" xfId="57" applyFont="1" applyFill="1" applyBorder="1" quotePrefix="1">
      <alignment/>
      <protection/>
    </xf>
    <xf numFmtId="0" fontId="156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6" fillId="32" borderId="26" xfId="57" applyFont="1" applyFill="1" applyBorder="1" quotePrefix="1">
      <alignment/>
      <protection/>
    </xf>
    <xf numFmtId="0" fontId="156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6" fillId="45" borderId="68" xfId="57" applyFont="1" applyFill="1" applyBorder="1" quotePrefix="1">
      <alignment/>
      <protection/>
    </xf>
    <xf numFmtId="0" fontId="156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6" fillId="45" borderId="17" xfId="57" applyFont="1" applyFill="1" applyBorder="1" quotePrefix="1">
      <alignment/>
      <protection/>
    </xf>
    <xf numFmtId="0" fontId="156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6" fillId="45" borderId="26" xfId="57" applyFont="1" applyFill="1" applyBorder="1" quotePrefix="1">
      <alignment/>
      <protection/>
    </xf>
    <xf numFmtId="0" fontId="156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5" fillId="39" borderId="27" xfId="0" applyNumberFormat="1" applyFont="1" applyFill="1" applyBorder="1" applyAlignment="1" applyProtection="1">
      <alignment horizontal="center"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93" fontId="161" fillId="39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93" fontId="167" fillId="41" borderId="27" xfId="0" applyNumberFormat="1" applyFont="1" applyFill="1" applyBorder="1" applyAlignment="1" applyProtection="1" quotePrefix="1">
      <alignment horizontal="center"/>
      <protection/>
    </xf>
    <xf numFmtId="181" fontId="167" fillId="41" borderId="27" xfId="0" applyNumberFormat="1" applyFont="1" applyFill="1" applyBorder="1" applyAlignment="1" applyProtection="1" quotePrefix="1">
      <alignment horizontal="center"/>
      <protection/>
    </xf>
    <xf numFmtId="181" fontId="174" fillId="49" borderId="27" xfId="0" applyNumberFormat="1" applyFont="1" applyFill="1" applyBorder="1" applyAlignment="1" applyProtection="1" quotePrefix="1">
      <alignment horizontal="center"/>
      <protection/>
    </xf>
    <xf numFmtId="193" fontId="168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7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8" fillId="39" borderId="102" xfId="0" applyNumberFormat="1" applyFont="1" applyFill="1" applyBorder="1" applyAlignment="1" applyProtection="1" quotePrefix="1">
      <alignment horizontal="center"/>
      <protection/>
    </xf>
    <xf numFmtId="213" fontId="162" fillId="41" borderId="102" xfId="0" applyNumberFormat="1" applyFont="1" applyFill="1" applyBorder="1" applyAlignment="1" applyProtection="1" quotePrefix="1">
      <alignment horizontal="center"/>
      <protection/>
    </xf>
    <xf numFmtId="213" fontId="174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9" fillId="32" borderId="45" xfId="0" applyNumberFormat="1" applyFont="1" applyFill="1" applyBorder="1" applyAlignment="1" applyProtection="1">
      <alignment horizontal="center"/>
      <protection locked="0"/>
    </xf>
    <xf numFmtId="213" fontId="188" fillId="39" borderId="27" xfId="0" applyNumberFormat="1" applyFont="1" applyFill="1" applyBorder="1" applyAlignment="1" applyProtection="1">
      <alignment horizontal="center"/>
      <protection/>
    </xf>
    <xf numFmtId="213" fontId="162" fillId="41" borderId="27" xfId="0" applyNumberFormat="1" applyFont="1" applyFill="1" applyBorder="1" applyAlignment="1" applyProtection="1" quotePrefix="1">
      <alignment horizontal="center"/>
      <protection/>
    </xf>
    <xf numFmtId="213" fontId="174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0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69" fillId="32" borderId="0" xfId="57" applyNumberFormat="1" applyFont="1" applyFill="1" applyBorder="1" applyAlignment="1">
      <alignment horizontal="left"/>
      <protection/>
    </xf>
    <xf numFmtId="178" fontId="70" fillId="45" borderId="0" xfId="57" applyNumberFormat="1" applyFont="1" applyFill="1" applyBorder="1" applyAlignment="1">
      <alignment horizontal="center"/>
      <protection/>
    </xf>
    <xf numFmtId="181" fontId="70" fillId="45" borderId="0" xfId="57" applyNumberFormat="1" applyFont="1" applyFill="1" applyBorder="1" applyAlignment="1">
      <alignment horizontal="center"/>
      <protection/>
    </xf>
    <xf numFmtId="181" fontId="69" fillId="32" borderId="0" xfId="57" applyNumberFormat="1" applyFont="1" applyFill="1" applyBorder="1" applyAlignment="1">
      <alignment horizontal="center"/>
      <protection/>
    </xf>
    <xf numFmtId="178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69" fillId="33" borderId="0" xfId="57" applyNumberFormat="1" applyFont="1" applyFill="1" applyBorder="1" applyAlignment="1">
      <alignment/>
      <protection/>
    </xf>
    <xf numFmtId="181" fontId="69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69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69" fillId="33" borderId="0" xfId="57" applyNumberFormat="1" applyFont="1" applyFill="1" applyBorder="1" applyAlignment="1">
      <alignment/>
      <protection/>
    </xf>
    <xf numFmtId="202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69" fillId="38" borderId="0" xfId="57" applyNumberFormat="1" applyFont="1" applyFill="1" applyBorder="1" applyAlignment="1">
      <alignment/>
      <protection/>
    </xf>
    <xf numFmtId="212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9" fillId="32" borderId="20" xfId="57" applyNumberFormat="1" applyFont="1" applyFill="1" applyBorder="1">
      <alignment/>
      <protection/>
    </xf>
    <xf numFmtId="178" fontId="69" fillId="32" borderId="20" xfId="57" applyNumberFormat="1" applyFont="1" applyFill="1" applyBorder="1" applyAlignment="1">
      <alignment horizontal="left"/>
      <protection/>
    </xf>
    <xf numFmtId="202" fontId="69" fillId="33" borderId="0" xfId="57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181" fontId="69" fillId="32" borderId="0" xfId="57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197" fontId="69" fillId="33" borderId="0" xfId="58" applyNumberFormat="1" applyFont="1" applyFill="1" applyBorder="1" applyAlignment="1">
      <alignment horizontal="center"/>
      <protection/>
    </xf>
    <xf numFmtId="197" fontId="69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181" fontId="69" fillId="45" borderId="0" xfId="57" applyNumberFormat="1" applyFont="1" applyFill="1" applyBorder="1" applyAlignment="1">
      <alignment horizontal="center"/>
      <protection/>
    </xf>
    <xf numFmtId="197" fontId="69" fillId="32" borderId="0" xfId="58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69" fillId="33" borderId="0" xfId="57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180" fontId="69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178" fontId="69" fillId="32" borderId="0" xfId="57" applyNumberFormat="1" applyFont="1" applyFill="1" applyBorder="1" applyAlignment="1">
      <alignment horizontal="center"/>
      <protection/>
    </xf>
    <xf numFmtId="180" fontId="69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9" fillId="38" borderId="0" xfId="57" applyNumberFormat="1" applyFont="1" applyFill="1" applyBorder="1" applyAlignment="1">
      <alignment horizontal="center"/>
      <protection/>
    </xf>
    <xf numFmtId="0" fontId="191" fillId="55" borderId="0" xfId="63" applyFont="1" applyFill="1" applyBorder="1" applyAlignment="1">
      <alignment horizontal="center"/>
      <protection/>
    </xf>
    <xf numFmtId="210" fontId="192" fillId="55" borderId="0" xfId="63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208" fontId="193" fillId="48" borderId="43" xfId="65" applyNumberFormat="1" applyFont="1" applyFill="1" applyBorder="1" applyAlignment="1" applyProtection="1">
      <alignment horizontal="left"/>
      <protection/>
    </xf>
    <xf numFmtId="208" fontId="193" fillId="48" borderId="29" xfId="65" applyNumberFormat="1" applyFont="1" applyFill="1" applyBorder="1" applyAlignment="1" applyProtection="1">
      <alignment horizontal="left"/>
      <protection/>
    </xf>
    <xf numFmtId="0" fontId="192" fillId="55" borderId="0" xfId="57" applyFont="1" applyFill="1" applyAlignment="1" applyProtection="1" quotePrefix="1">
      <alignment horizontal="center"/>
      <protection/>
    </xf>
    <xf numFmtId="211" fontId="192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4" fillId="33" borderId="47" xfId="65" applyNumberFormat="1" applyFont="1" applyFill="1" applyBorder="1" applyAlignment="1" applyProtection="1">
      <alignment horizontal="center"/>
      <protection/>
    </xf>
    <xf numFmtId="38" fontId="194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4" fillId="33" borderId="49" xfId="65" applyNumberFormat="1" applyFont="1" applyFill="1" applyBorder="1" applyAlignment="1" applyProtection="1">
      <alignment horizontal="center"/>
      <protection/>
    </xf>
    <xf numFmtId="38" fontId="194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9" fontId="157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7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6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6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7" fontId="162" fillId="33" borderId="28" xfId="60" applyNumberFormat="1" applyFont="1" applyFill="1" applyBorder="1" applyAlignment="1" applyProtection="1">
      <alignment horizontal="center"/>
      <protection/>
    </xf>
    <xf numFmtId="187" fontId="162" fillId="33" borderId="43" xfId="60" applyNumberFormat="1" applyFont="1" applyFill="1" applyBorder="1" applyAlignment="1" applyProtection="1">
      <alignment horizontal="center"/>
      <protection/>
    </xf>
    <xf numFmtId="187" fontId="162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0" fontId="200" fillId="33" borderId="61" xfId="61" applyFont="1" applyFill="1" applyBorder="1" applyAlignment="1" applyProtection="1">
      <alignment horizontal="center"/>
      <protection/>
    </xf>
    <xf numFmtId="0" fontId="200" fillId="33" borderId="0" xfId="61" applyFont="1" applyFill="1" applyBorder="1" applyAlignment="1" applyProtection="1">
      <alignment horizontal="center"/>
      <protection/>
    </xf>
    <xf numFmtId="0" fontId="200" fillId="33" borderId="30" xfId="61" applyFont="1" applyFill="1" applyBorder="1" applyAlignment="1" applyProtection="1">
      <alignment horizontal="center"/>
      <protection/>
    </xf>
    <xf numFmtId="0" fontId="171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201" fillId="32" borderId="0" xfId="60" applyNumberFormat="1" applyFont="1" applyFill="1" applyBorder="1" applyAlignment="1" applyProtection="1">
      <alignment horizontal="center"/>
      <protection/>
    </xf>
    <xf numFmtId="0" fontId="157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5" fillId="46" borderId="65" xfId="65" applyNumberFormat="1" applyFont="1" applyFill="1" applyBorder="1" applyAlignment="1" applyProtection="1">
      <alignment horizontal="center"/>
      <protection/>
    </xf>
    <xf numFmtId="38" fontId="165" fillId="46" borderId="20" xfId="65" applyNumberFormat="1" applyFont="1" applyFill="1" applyBorder="1" applyAlignment="1" applyProtection="1">
      <alignment horizontal="center"/>
      <protection/>
    </xf>
    <xf numFmtId="38" fontId="165" fillId="46" borderId="58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4" fillId="43" borderId="42" xfId="65" applyNumberFormat="1" applyFont="1" applyFill="1" applyBorder="1" applyAlignment="1" applyProtection="1">
      <alignment horizontal="center"/>
      <protection/>
    </xf>
    <xf numFmtId="38" fontId="184" fillId="43" borderId="43" xfId="65" applyNumberFormat="1" applyFont="1" applyFill="1" applyBorder="1" applyAlignment="1" applyProtection="1">
      <alignment horizontal="center"/>
      <protection/>
    </xf>
    <xf numFmtId="38" fontId="184" fillId="43" borderId="44" xfId="65" applyNumberFormat="1" applyFont="1" applyFill="1" applyBorder="1" applyAlignment="1" applyProtection="1">
      <alignment horizontal="center"/>
      <protection/>
    </xf>
    <xf numFmtId="188" fontId="202" fillId="45" borderId="28" xfId="57" applyNumberFormat="1" applyFont="1" applyFill="1" applyBorder="1" applyAlignment="1" applyProtection="1">
      <alignment horizontal="center" vertical="center"/>
      <protection locked="0"/>
    </xf>
    <xf numFmtId="188" fontId="20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203" fillId="32" borderId="0" xfId="0" applyNumberFormat="1" applyFont="1" applyFill="1" applyAlignment="1" applyProtection="1">
      <alignment horizontal="center"/>
      <protection/>
    </xf>
    <xf numFmtId="209" fontId="203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202" fillId="45" borderId="28" xfId="57" applyNumberFormat="1" applyFont="1" applyFill="1" applyBorder="1" applyAlignment="1" applyProtection="1">
      <alignment horizontal="center" vertical="center"/>
      <protection/>
    </xf>
    <xf numFmtId="188" fontId="20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4" fillId="36" borderId="28" xfId="53" applyFont="1" applyFill="1" applyBorder="1" applyAlignment="1" applyProtection="1">
      <alignment horizontal="center" vertical="center"/>
      <protection/>
    </xf>
    <xf numFmtId="0" fontId="204" fillId="36" borderId="43" xfId="53" applyFont="1" applyFill="1" applyBorder="1" applyAlignment="1" applyProtection="1">
      <alignment horizontal="center" vertical="center"/>
      <protection/>
    </xf>
    <xf numFmtId="0" fontId="204" fillId="36" borderId="29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201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200" fillId="33" borderId="116" xfId="61" applyFont="1" applyFill="1" applyBorder="1" applyAlignment="1" applyProtection="1">
      <alignment horizontal="center"/>
      <protection/>
    </xf>
    <xf numFmtId="0" fontId="200" fillId="33" borderId="135" xfId="61" applyFont="1" applyFill="1" applyBorder="1" applyAlignment="1" applyProtection="1">
      <alignment horizontal="center"/>
      <protection/>
    </xf>
    <xf numFmtId="210" fontId="205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9" sqref="R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461</v>
      </c>
      <c r="C1" s="737"/>
      <c r="D1" s="737"/>
      <c r="E1" s="737"/>
      <c r="F1" s="738"/>
      <c r="G1" s="433" t="s">
        <v>244</v>
      </c>
      <c r="H1" s="426"/>
      <c r="I1" s="724">
        <v>131060676</v>
      </c>
      <c r="J1" s="725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 t="s">
        <v>460</v>
      </c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КОМИСИЯ ЗА ФИНАНСОВ НАДЗОР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361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15419689</v>
      </c>
      <c r="G16" s="233">
        <v>18414412</v>
      </c>
      <c r="H16" s="15"/>
      <c r="I16" s="234"/>
      <c r="J16" s="233"/>
      <c r="K16" s="227"/>
      <c r="L16" s="234"/>
      <c r="M16" s="233"/>
      <c r="N16" s="227"/>
      <c r="O16" s="361">
        <f t="shared" si="0"/>
        <v>15419689</v>
      </c>
      <c r="P16" s="384">
        <f t="shared" si="0"/>
        <v>18414412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1073519</v>
      </c>
      <c r="G18" s="229">
        <v>3308283</v>
      </c>
      <c r="H18" s="15"/>
      <c r="I18" s="230"/>
      <c r="J18" s="229"/>
      <c r="K18" s="227"/>
      <c r="L18" s="230"/>
      <c r="M18" s="229"/>
      <c r="N18" s="227"/>
      <c r="O18" s="365">
        <f t="shared" si="0"/>
        <v>1073519</v>
      </c>
      <c r="P18" s="378">
        <f t="shared" si="0"/>
        <v>3308283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>
        <v>1804</v>
      </c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1804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18892</v>
      </c>
      <c r="G24" s="233">
        <v>48319</v>
      </c>
      <c r="H24" s="15"/>
      <c r="I24" s="234"/>
      <c r="J24" s="233"/>
      <c r="K24" s="227"/>
      <c r="L24" s="234"/>
      <c r="M24" s="233"/>
      <c r="N24" s="227"/>
      <c r="O24" s="361">
        <f t="shared" si="0"/>
        <v>18892</v>
      </c>
      <c r="P24" s="384">
        <f t="shared" si="0"/>
        <v>48319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16512100</v>
      </c>
      <c r="G25" s="235">
        <f>+ROUND(+SUM(G15,G16,G18,G19,G20,G21,G22,G23,G24),0)</f>
        <v>21772818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16512100</v>
      </c>
      <c r="P25" s="363">
        <f>+ROUND(+SUM(P15,P16,P18,P19,P20,P21,P22,P23,P24),0)</f>
        <v>21772818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-230248</v>
      </c>
      <c r="G37" s="247">
        <v>-552463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-230248</v>
      </c>
      <c r="P37" s="363">
        <f t="shared" si="2"/>
        <v>-552463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>
        <v>-54</v>
      </c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-54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16281852</v>
      </c>
      <c r="G50" s="257">
        <f>+ROUND(G25+G30+G37+G42+G48,0)</f>
        <v>21220355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16281852</v>
      </c>
      <c r="P50" s="380">
        <f>+ROUND(P25+P30+P37+P42+P48,0)</f>
        <v>21220355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1172521</v>
      </c>
      <c r="G53" s="259">
        <v>4940500</v>
      </c>
      <c r="H53" s="15"/>
      <c r="I53" s="260"/>
      <c r="J53" s="259">
        <v>468</v>
      </c>
      <c r="K53" s="227"/>
      <c r="L53" s="260"/>
      <c r="M53" s="259"/>
      <c r="N53" s="227"/>
      <c r="O53" s="366">
        <f aca="true" t="shared" si="4" ref="O53:P57">+ROUND(+F53+I53+L53,0)</f>
        <v>1172521</v>
      </c>
      <c r="P53" s="359">
        <f t="shared" si="4"/>
        <v>4940968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25297</v>
      </c>
      <c r="G54" s="233">
        <v>32967</v>
      </c>
      <c r="H54" s="15"/>
      <c r="I54" s="234"/>
      <c r="J54" s="233"/>
      <c r="K54" s="227"/>
      <c r="L54" s="234"/>
      <c r="M54" s="233"/>
      <c r="N54" s="227"/>
      <c r="O54" s="361">
        <f t="shared" si="4"/>
        <v>25297</v>
      </c>
      <c r="P54" s="384">
        <f t="shared" si="4"/>
        <v>32967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4248</v>
      </c>
      <c r="G55" s="233">
        <v>42874</v>
      </c>
      <c r="H55" s="15"/>
      <c r="I55" s="234"/>
      <c r="J55" s="233"/>
      <c r="K55" s="227"/>
      <c r="L55" s="234"/>
      <c r="M55" s="233"/>
      <c r="N55" s="227"/>
      <c r="O55" s="361">
        <f t="shared" si="4"/>
        <v>4248</v>
      </c>
      <c r="P55" s="384">
        <f t="shared" si="4"/>
        <v>42874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2635556</v>
      </c>
      <c r="G56" s="233">
        <v>11922118</v>
      </c>
      <c r="H56" s="15"/>
      <c r="I56" s="234"/>
      <c r="J56" s="233"/>
      <c r="K56" s="227"/>
      <c r="L56" s="234"/>
      <c r="M56" s="233"/>
      <c r="N56" s="227"/>
      <c r="O56" s="361">
        <f t="shared" si="4"/>
        <v>2635556</v>
      </c>
      <c r="P56" s="384">
        <f t="shared" si="4"/>
        <v>11922118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360527</v>
      </c>
      <c r="G57" s="233">
        <v>1493278</v>
      </c>
      <c r="H57" s="15"/>
      <c r="I57" s="234"/>
      <c r="J57" s="233"/>
      <c r="K57" s="227"/>
      <c r="L57" s="234"/>
      <c r="M57" s="233"/>
      <c r="N57" s="227"/>
      <c r="O57" s="361">
        <f t="shared" si="4"/>
        <v>360527</v>
      </c>
      <c r="P57" s="384">
        <f t="shared" si="4"/>
        <v>1493278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4198149</v>
      </c>
      <c r="G58" s="261">
        <f>+ROUND(+SUM(G53:G57),0)</f>
        <v>18431737</v>
      </c>
      <c r="H58" s="15"/>
      <c r="I58" s="262">
        <f>+ROUND(+SUM(I53:I57),0)</f>
        <v>0</v>
      </c>
      <c r="J58" s="261">
        <f>+ROUND(+SUM(J53:J57),0)</f>
        <v>468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4198149</v>
      </c>
      <c r="P58" s="382">
        <f>+ROUND(+SUM(P53:P57),0)</f>
        <v>18432205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300492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300492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43322</v>
      </c>
      <c r="G62" s="233">
        <v>342537</v>
      </c>
      <c r="H62" s="15"/>
      <c r="I62" s="234"/>
      <c r="J62" s="233">
        <v>1439703</v>
      </c>
      <c r="K62" s="227"/>
      <c r="L62" s="234"/>
      <c r="M62" s="233"/>
      <c r="N62" s="227"/>
      <c r="O62" s="361">
        <f t="shared" si="5"/>
        <v>43322</v>
      </c>
      <c r="P62" s="384">
        <f t="shared" si="5"/>
        <v>1782240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43322</v>
      </c>
      <c r="G65" s="261">
        <f>+ROUND(+SUM(G60:G63),0)</f>
        <v>643029</v>
      </c>
      <c r="H65" s="15"/>
      <c r="I65" s="262">
        <f>+ROUND(+SUM(I60:I63),0)</f>
        <v>0</v>
      </c>
      <c r="J65" s="261">
        <f>+ROUND(+SUM(J60:J63),0)</f>
        <v>1439703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43322</v>
      </c>
      <c r="P65" s="382">
        <f>+ROUND(+SUM(P60:P63),0)</f>
        <v>2082732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4241471</v>
      </c>
      <c r="G79" s="272">
        <f>+ROUND(G58+G65+G69+G73+G77,0)</f>
        <v>19074766</v>
      </c>
      <c r="H79" s="15"/>
      <c r="I79" s="269">
        <f>+ROUND(I58+I65+I69+I73+I77,0)</f>
        <v>0</v>
      </c>
      <c r="J79" s="272">
        <f>+ROUND(J58+J65+J69+J73+J77,0)</f>
        <v>1440171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4241471</v>
      </c>
      <c r="P79" s="392">
        <f>+ROUND(P58+P65+P69+P73+P77,0)</f>
        <v>20514937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-12033627</v>
      </c>
      <c r="G81" s="229">
        <v>-3143950</v>
      </c>
      <c r="H81" s="15"/>
      <c r="I81" s="230"/>
      <c r="J81" s="229">
        <v>2438377</v>
      </c>
      <c r="K81" s="227"/>
      <c r="L81" s="230"/>
      <c r="M81" s="229"/>
      <c r="N81" s="227"/>
      <c r="O81" s="365">
        <f>+ROUND(+F81+I81+L81,0)</f>
        <v>-12033627</v>
      </c>
      <c r="P81" s="378">
        <f>+ROUND(+G81+J81+M81,0)</f>
        <v>-705573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-12033627</v>
      </c>
      <c r="G83" s="270">
        <f>+ROUND(G81+G82,0)</f>
        <v>-3143950</v>
      </c>
      <c r="H83" s="15"/>
      <c r="I83" s="271">
        <f>+ROUND(I81+I82,0)</f>
        <v>0</v>
      </c>
      <c r="J83" s="270">
        <f>+ROUND(J81+J82,0)</f>
        <v>2438377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-12033627</v>
      </c>
      <c r="P83" s="387">
        <f>+ROUND(P81+P82,0)</f>
        <v>-705573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6754</v>
      </c>
      <c r="G85" s="291">
        <f>+ROUND(G50,0)-ROUND(G79,0)+ROUND(G83,0)</f>
        <v>-998361</v>
      </c>
      <c r="H85" s="15"/>
      <c r="I85" s="292">
        <f>+ROUND(I50,0)-ROUND(I79,0)+ROUND(I83,0)</f>
        <v>0</v>
      </c>
      <c r="J85" s="291">
        <f>+ROUND(J50,0)-ROUND(J79,0)+ROUND(J83,0)</f>
        <v>998206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6754</v>
      </c>
      <c r="P85" s="389">
        <f>+ROUND(P50,0)-ROUND(P79,0)+ROUND(P83,0)</f>
        <v>-155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-6754</v>
      </c>
      <c r="G86" s="293">
        <f>+ROUND(G103,0)+ROUND(G122,0)+ROUND(G129,0)-ROUND(G134,0)</f>
        <v>998361</v>
      </c>
      <c r="H86" s="15"/>
      <c r="I86" s="294">
        <f>+ROUND(I103,0)+ROUND(I122,0)+ROUND(I129,0)-ROUND(I134,0)</f>
        <v>0</v>
      </c>
      <c r="J86" s="293">
        <f>+ROUND(J103,0)+ROUND(J122,0)+ROUND(J129,0)-ROUND(J134,0)</f>
        <v>-998206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-6754</v>
      </c>
      <c r="P86" s="391">
        <f>+ROUND(P103,0)+ROUND(P122,0)+ROUND(P129,0)-ROUND(P134,0)</f>
        <v>155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732</v>
      </c>
      <c r="G118" s="259">
        <v>390</v>
      </c>
      <c r="H118" s="15"/>
      <c r="I118" s="260"/>
      <c r="J118" s="259"/>
      <c r="K118" s="227"/>
      <c r="L118" s="260">
        <v>-22021</v>
      </c>
      <c r="M118" s="259">
        <v>84752</v>
      </c>
      <c r="N118" s="227"/>
      <c r="O118" s="366">
        <f>+ROUND(+F118+I118+L118,0)</f>
        <v>-21289</v>
      </c>
      <c r="P118" s="359">
        <f>+ROUND(+G118+J118+M118,0)</f>
        <v>85142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732</v>
      </c>
      <c r="G120" s="261">
        <f>+ROUND(+SUM(G118:G119),0)</f>
        <v>390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-22021</v>
      </c>
      <c r="M120" s="261">
        <f>+ROUND(+SUM(M118:M119),0)</f>
        <v>84752</v>
      </c>
      <c r="N120" s="227"/>
      <c r="O120" s="381">
        <f>+ROUND(+SUM(O118:O119),0)</f>
        <v>-21289</v>
      </c>
      <c r="P120" s="382">
        <f>+ROUND(+SUM(P118:P119),0)</f>
        <v>85142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732</v>
      </c>
      <c r="G122" s="272">
        <f>+ROUND(G108+G112+G116+G120,0)</f>
        <v>390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-22021</v>
      </c>
      <c r="M122" s="272">
        <f>+ROUND(M108+M112+M116+M120,0)</f>
        <v>84752</v>
      </c>
      <c r="N122" s="227"/>
      <c r="O122" s="385">
        <f>+ROUND(O108+O112+O116+O120,0)</f>
        <v>-21289</v>
      </c>
      <c r="P122" s="392">
        <f>+ROUND(P108+P112+P116+P120,0)</f>
        <v>85142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3">
        <v>998206</v>
      </c>
      <c r="H125" s="15"/>
      <c r="I125" s="234"/>
      <c r="J125" s="233">
        <v>-998206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998206</v>
      </c>
      <c r="H129" s="15"/>
      <c r="I129" s="271">
        <f>+ROUND(+SUM(I124,I125,I126,I128),0)</f>
        <v>0</v>
      </c>
      <c r="J129" s="270">
        <f>+ROUND(+SUM(J124,J125,J126,J128),0)</f>
        <v>-998206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429</v>
      </c>
      <c r="G131" s="229">
        <v>194</v>
      </c>
      <c r="H131" s="15"/>
      <c r="I131" s="230"/>
      <c r="J131" s="229"/>
      <c r="K131" s="227"/>
      <c r="L131" s="230">
        <v>105525</v>
      </c>
      <c r="M131" s="229">
        <v>20773</v>
      </c>
      <c r="N131" s="227"/>
      <c r="O131" s="365">
        <f aca="true" t="shared" si="8" ref="O131:P133">+ROUND(+F131+I131+L131,0)</f>
        <v>105954</v>
      </c>
      <c r="P131" s="378">
        <f t="shared" si="8"/>
        <v>20967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7915</v>
      </c>
      <c r="G133" s="233">
        <v>429</v>
      </c>
      <c r="H133" s="15"/>
      <c r="I133" s="234"/>
      <c r="J133" s="233"/>
      <c r="K133" s="227"/>
      <c r="L133" s="234">
        <v>83504</v>
      </c>
      <c r="M133" s="233">
        <v>105525</v>
      </c>
      <c r="N133" s="227"/>
      <c r="O133" s="361">
        <f t="shared" si="8"/>
        <v>91419</v>
      </c>
      <c r="P133" s="384">
        <f t="shared" si="8"/>
        <v>105954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7486</v>
      </c>
      <c r="G134" s="275">
        <f>+ROUND(+G133-G131-G132,0)</f>
        <v>235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-22021</v>
      </c>
      <c r="M134" s="275">
        <f>+ROUND(+M133-M131-M132,0)</f>
        <v>84752</v>
      </c>
      <c r="N134" s="227"/>
      <c r="O134" s="394">
        <f>+ROUND(+O133-O131-O132,0)</f>
        <v>-14535</v>
      </c>
      <c r="P134" s="395">
        <f>+ROUND(+P133-P131-P132,0)</f>
        <v>84987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7486</v>
      </c>
      <c r="G142" s="539">
        <f>+G134+G140</f>
        <v>235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-22021</v>
      </c>
      <c r="M142" s="539">
        <f>+M134+M140</f>
        <v>84752</v>
      </c>
      <c r="N142" s="227"/>
      <c r="O142" s="394">
        <f>+O134+O140</f>
        <v>-14535</v>
      </c>
      <c r="P142" s="395">
        <f>+P134+P140</f>
        <v>84987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18042022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/>
      <c r="G148" s="722"/>
      <c r="H148" s="722"/>
      <c r="I148" s="723"/>
      <c r="J148" s="346"/>
      <c r="K148" s="16"/>
      <c r="L148" s="346" t="s">
        <v>234</v>
      </c>
      <c r="M148" s="721"/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7915</v>
      </c>
      <c r="G160" s="580">
        <f>+G133+G139</f>
        <v>429</v>
      </c>
      <c r="I160" s="579">
        <f>+I133+I139</f>
        <v>0</v>
      </c>
      <c r="J160" s="580">
        <f>+J133+J139</f>
        <v>0</v>
      </c>
      <c r="K160" s="227"/>
      <c r="L160" s="579">
        <f>+L133+L139</f>
        <v>83504</v>
      </c>
      <c r="M160" s="580">
        <f>+M133+M139</f>
        <v>105525</v>
      </c>
      <c r="N160" s="227"/>
      <c r="O160" s="583">
        <f>+ROUND(+F160+I160+L160,0)</f>
        <v>91419</v>
      </c>
      <c r="P160" s="584">
        <f>+ROUND(+G160+J160+M160,0)</f>
        <v>105954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576">
        <v>7915</v>
      </c>
      <c r="G161" s="577">
        <v>429</v>
      </c>
      <c r="I161" s="576"/>
      <c r="J161" s="577"/>
      <c r="K161" s="227"/>
      <c r="L161" s="576">
        <v>83504</v>
      </c>
      <c r="M161" s="577">
        <v>105525</v>
      </c>
      <c r="N161" s="227"/>
      <c r="O161" s="585">
        <f>+ROUND(+F161+I161+L161,0)</f>
        <v>91419</v>
      </c>
      <c r="P161" s="586">
        <f>+ROUND(+G161+J161+M161,0)</f>
        <v>105954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КОМИСИЯ ЗА ФИНАНСОВ НАДЗОР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131060676</v>
      </c>
      <c r="J1" s="823"/>
      <c r="K1" s="439"/>
      <c r="L1" s="440" t="s">
        <v>245</v>
      </c>
      <c r="M1" s="441">
        <f>+'Cash-Flow-2022-Leva'!M1</f>
        <v>4700</v>
      </c>
      <c r="N1" s="439"/>
      <c r="O1" s="440" t="s">
        <v>239</v>
      </c>
      <c r="P1" s="451">
        <f>+'Cash-Flow-2022-Leva'!P1</f>
        <v>29404695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 t="str">
        <f>+'Cash-Flow-2022-Leva'!M3:P3</f>
        <v>vasileva_m@fsc.bg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КОМИСИЯ ЗА ФИНАНСОВ НАДЗОР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15419.689</v>
      </c>
      <c r="G16" s="267">
        <f>+'Cash-Flow-2022-Leva'!G16/1000</f>
        <v>18414.412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15419.689</v>
      </c>
      <c r="P16" s="384">
        <f t="shared" si="1"/>
        <v>18414.412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1073.519</v>
      </c>
      <c r="G18" s="255">
        <f>+'Cash-Flow-2022-Leva'!G18/1000</f>
        <v>3308.283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1073.519</v>
      </c>
      <c r="P18" s="378">
        <f t="shared" si="1"/>
        <v>3308.283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1.804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1.804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18.892</v>
      </c>
      <c r="G24" s="267">
        <f>+'Cash-Flow-2022-Leva'!G24/1000</f>
        <v>48.319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18.892</v>
      </c>
      <c r="P24" s="384">
        <f t="shared" si="1"/>
        <v>48.319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16512.1</v>
      </c>
      <c r="G25" s="235">
        <f>+SUM(G15,G16,G18,G19,G20,G21,G22,G23,G24)</f>
        <v>21772.818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16512.1</v>
      </c>
      <c r="P25" s="363">
        <f>+SUM(P15,P16,P18,P19,P20,P21,P22,P23,P24)</f>
        <v>21772.818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-230.248</v>
      </c>
      <c r="G37" s="235">
        <f>+'Cash-Flow-2022-Leva'!G37/1000</f>
        <v>-552.463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-230.248</v>
      </c>
      <c r="P37" s="363">
        <f t="shared" si="3"/>
        <v>-552.463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-0.054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-0.054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16281.851999999999</v>
      </c>
      <c r="G50" s="257">
        <f>+G25+G30+G37+G42+G48</f>
        <v>21220.355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16281.851999999999</v>
      </c>
      <c r="P50" s="380">
        <f>+P25+P30+P37+P42+P48</f>
        <v>21220.355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1172.521</v>
      </c>
      <c r="G53" s="228">
        <f>+'Cash-Flow-2022-Leva'!G53/1000</f>
        <v>4940.5</v>
      </c>
      <c r="H53" s="277"/>
      <c r="I53" s="238">
        <f>+'Cash-Flow-2022-Leva'!I53/1000</f>
        <v>0</v>
      </c>
      <c r="J53" s="228">
        <f>+'Cash-Flow-2022-Leva'!J53/1000</f>
        <v>0.468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1172.521</v>
      </c>
      <c r="P53" s="359">
        <f t="shared" si="5"/>
        <v>4940.968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25.297</v>
      </c>
      <c r="G54" s="267">
        <f>+'Cash-Flow-2022-Leva'!G54/1000</f>
        <v>32.967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25.297</v>
      </c>
      <c r="P54" s="384">
        <f t="shared" si="5"/>
        <v>32.967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4.248</v>
      </c>
      <c r="G55" s="267">
        <f>+'Cash-Flow-2022-Leva'!G55/1000</f>
        <v>42.874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4.248</v>
      </c>
      <c r="P55" s="384">
        <f t="shared" si="5"/>
        <v>42.874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2635.556</v>
      </c>
      <c r="G56" s="267">
        <f>+'Cash-Flow-2022-Leva'!G56/1000</f>
        <v>11922.118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2635.556</v>
      </c>
      <c r="P56" s="384">
        <f t="shared" si="5"/>
        <v>11922.118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360.527</v>
      </c>
      <c r="G57" s="267">
        <f>+'Cash-Flow-2022-Leva'!G57/1000</f>
        <v>1493.278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360.527</v>
      </c>
      <c r="P57" s="384">
        <f t="shared" si="5"/>
        <v>1493.278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4198.149</v>
      </c>
      <c r="G58" s="261">
        <f>+SUM(G53:G57)</f>
        <v>18431.736999999997</v>
      </c>
      <c r="H58" s="277"/>
      <c r="I58" s="262">
        <f>+SUM(I53:I57)</f>
        <v>0</v>
      </c>
      <c r="J58" s="261">
        <f>+SUM(J53:J57)</f>
        <v>0.468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4198.149</v>
      </c>
      <c r="P58" s="382">
        <f>+SUM(P53:P57)</f>
        <v>18432.204999999998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300.492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300.492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43.322</v>
      </c>
      <c r="G62" s="267">
        <f>+'Cash-Flow-2022-Leva'!G62/1000</f>
        <v>342.537</v>
      </c>
      <c r="H62" s="277"/>
      <c r="I62" s="268">
        <f>+'Cash-Flow-2022-Leva'!I62/1000</f>
        <v>0</v>
      </c>
      <c r="J62" s="267">
        <f>+'Cash-Flow-2022-Leva'!J62/1000</f>
        <v>1439.703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43.322</v>
      </c>
      <c r="P62" s="384">
        <f t="shared" si="6"/>
        <v>1782.24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43.322</v>
      </c>
      <c r="G65" s="261">
        <f>+SUM(G60:G63)</f>
        <v>643.029</v>
      </c>
      <c r="H65" s="277"/>
      <c r="I65" s="262">
        <f>+SUM(I60:I63)</f>
        <v>0</v>
      </c>
      <c r="J65" s="261">
        <f>+SUM(J60:J63)</f>
        <v>1439.703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43.322</v>
      </c>
      <c r="P65" s="382">
        <f>+SUM(P60:P63)</f>
        <v>2082.732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4241.4710000000005</v>
      </c>
      <c r="G79" s="272">
        <f>+G58+G65+G69+G73+G77</f>
        <v>19074.765999999996</v>
      </c>
      <c r="H79" s="277"/>
      <c r="I79" s="269">
        <f>+I58+I65+I69+I73+I77</f>
        <v>0</v>
      </c>
      <c r="J79" s="272">
        <f>+J58+J65+J69+J73+J77</f>
        <v>1440.171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4241.4710000000005</v>
      </c>
      <c r="P79" s="392">
        <f>+P58+P65+P69+P73+P77</f>
        <v>20514.936999999998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-12033.627</v>
      </c>
      <c r="G81" s="255">
        <f>+'Cash-Flow-2022-Leva'!G81/1000</f>
        <v>-3143.95</v>
      </c>
      <c r="H81" s="277"/>
      <c r="I81" s="256">
        <f>+'Cash-Flow-2022-Leva'!I81/1000</f>
        <v>0</v>
      </c>
      <c r="J81" s="255">
        <f>+'Cash-Flow-2022-Leva'!J81/1000</f>
        <v>2438.377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-12033.627</v>
      </c>
      <c r="P81" s="378">
        <f>+G81+J81+M81</f>
        <v>-705.5729999999999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-12033.627</v>
      </c>
      <c r="G83" s="270">
        <f>+G81+G82</f>
        <v>-3143.95</v>
      </c>
      <c r="H83" s="277"/>
      <c r="I83" s="271">
        <f>+I81+I82</f>
        <v>0</v>
      </c>
      <c r="J83" s="270">
        <f>+J81+J82</f>
        <v>2438.377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-12033.627</v>
      </c>
      <c r="P83" s="387">
        <f>+P81+P82</f>
        <v>-705.5729999999999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6.753999999997177</v>
      </c>
      <c r="G85" s="291">
        <f>+G50-G79+G83</f>
        <v>-998.3609999999962</v>
      </c>
      <c r="H85" s="277"/>
      <c r="I85" s="292">
        <f>+I50-I79+I83</f>
        <v>0</v>
      </c>
      <c r="J85" s="291">
        <f>+J50-J79+J83</f>
        <v>998.2059999999999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6.753999999997177</v>
      </c>
      <c r="P85" s="389">
        <f>+P50-P79+P83</f>
        <v>-0.1549999999983811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-6.754</v>
      </c>
      <c r="G86" s="293">
        <f>+G103+G122+G129-G134</f>
        <v>998.361</v>
      </c>
      <c r="H86" s="277"/>
      <c r="I86" s="294">
        <f>+I103+I122+I129-I134</f>
        <v>0</v>
      </c>
      <c r="J86" s="293">
        <f>+J103+J122+J129-J134</f>
        <v>-998.206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-6.754000000000005</v>
      </c>
      <c r="P86" s="391">
        <f>+P103+P122+P129-P134</f>
        <v>0.15499999999998693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0.732</v>
      </c>
      <c r="G118" s="228">
        <f>+'Cash-Flow-2022-Leva'!G118/1000</f>
        <v>0.39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-22.021</v>
      </c>
      <c r="M118" s="228">
        <f>+'Cash-Flow-2022-Leva'!M118/1000</f>
        <v>84.752</v>
      </c>
      <c r="N118" s="465"/>
      <c r="O118" s="366">
        <f>+F118+I118+L118</f>
        <v>-21.289</v>
      </c>
      <c r="P118" s="359">
        <f>+G118+J118+M118</f>
        <v>85.142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0.732</v>
      </c>
      <c r="G120" s="261">
        <f>+SUM(G118:G119)</f>
        <v>0.39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-22.021</v>
      </c>
      <c r="M120" s="261">
        <f>+SUM(M118:M119)</f>
        <v>84.752</v>
      </c>
      <c r="N120" s="465"/>
      <c r="O120" s="381">
        <f>+SUM(O118:O119)</f>
        <v>-21.289</v>
      </c>
      <c r="P120" s="382">
        <f>+SUM(P118:P119)</f>
        <v>85.142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0.732</v>
      </c>
      <c r="G122" s="272">
        <f>+G108+G112+G116+G120</f>
        <v>0.39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-22.021</v>
      </c>
      <c r="M122" s="272">
        <f>+M108+M112+M116+M120</f>
        <v>84.752</v>
      </c>
      <c r="N122" s="465"/>
      <c r="O122" s="385">
        <f>+O108+O112+O116+O120</f>
        <v>-21.289</v>
      </c>
      <c r="P122" s="392">
        <f>+P108+P112+P116+P120</f>
        <v>85.142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0</v>
      </c>
      <c r="G125" s="267">
        <f>+'Cash-Flow-2022-Leva'!G125/1000</f>
        <v>998.206</v>
      </c>
      <c r="H125" s="277"/>
      <c r="I125" s="268">
        <f>+'Cash-Flow-2022-Leva'!I125/1000</f>
        <v>0</v>
      </c>
      <c r="J125" s="267">
        <f>+'Cash-Flow-2022-Leva'!J125/1000</f>
        <v>-998.206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998.206</v>
      </c>
      <c r="H129" s="277"/>
      <c r="I129" s="271">
        <f>+SUM(I124,I125,I126,I128)</f>
        <v>0</v>
      </c>
      <c r="J129" s="270">
        <f>+SUM(J124,J125,J126,J128)</f>
        <v>-998.206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0.429</v>
      </c>
      <c r="G131" s="255">
        <f>+'Cash-Flow-2022-Leva'!G131/1000</f>
        <v>0.194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105.525</v>
      </c>
      <c r="M131" s="255">
        <f>+'Cash-Flow-2022-Leva'!M131/1000</f>
        <v>20.773</v>
      </c>
      <c r="N131" s="465"/>
      <c r="O131" s="365">
        <f aca="true" t="shared" si="9" ref="O131:P133">+F131+I131+L131</f>
        <v>105.95400000000001</v>
      </c>
      <c r="P131" s="378">
        <f t="shared" si="9"/>
        <v>20.967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7.915</v>
      </c>
      <c r="G133" s="267">
        <f>+'Cash-Flow-2022-Leva'!G133/1000</f>
        <v>0.429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83.504</v>
      </c>
      <c r="M133" s="267">
        <f>+'Cash-Flow-2022-Leva'!M133/1000</f>
        <v>105.525</v>
      </c>
      <c r="N133" s="465"/>
      <c r="O133" s="361">
        <f t="shared" si="9"/>
        <v>91.41900000000001</v>
      </c>
      <c r="P133" s="384">
        <f t="shared" si="9"/>
        <v>105.95400000000001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7.486</v>
      </c>
      <c r="G134" s="275">
        <f>+G133-G131-G132</f>
        <v>0.235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-22.021</v>
      </c>
      <c r="M134" s="275">
        <f>+M133-M131-M132</f>
        <v>84.75200000000001</v>
      </c>
      <c r="N134" s="465"/>
      <c r="O134" s="394">
        <f>+O133-O131-O132</f>
        <v>-14.534999999999997</v>
      </c>
      <c r="P134" s="395">
        <f>+P133-P131-P132</f>
        <v>84.98700000000001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7.486</v>
      </c>
      <c r="G142" s="275">
        <f>+G134+G140</f>
        <v>0.235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-22.021</v>
      </c>
      <c r="M142" s="539">
        <f>+M134+M140</f>
        <v>84.75200000000001</v>
      </c>
      <c r="N142" s="465"/>
      <c r="O142" s="563">
        <f>+O134+O140</f>
        <v>-14.534999999999997</v>
      </c>
      <c r="P142" s="564">
        <f>+P134+P140</f>
        <v>84.98700000000001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18042022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2022-04-21T12:15:28Z</dcterms:modified>
  <cp:category/>
  <cp:version/>
  <cp:contentType/>
  <cp:contentStatus/>
</cp:coreProperties>
</file>