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<sst xmlns="http://schemas.openxmlformats.org/spreadsheetml/2006/main" count="672" uniqueCount="457">
  <si>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</si>
  <si>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</si>
  <si>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</si>
  <si>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</si>
  <si>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</si>
  <si>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</si>
  <si>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</si>
  <si>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</si>
  <si>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</si>
  <si>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</si>
  <si>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</si>
  <si>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</si>
  <si>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</si>
  <si>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</si>
  <si>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</si>
  <si>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</si>
  <si>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</si>
  <si>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</si>
  <si>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</si>
  <si>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</si>
  <si>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</si>
  <si>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</si>
  <si>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</si>
  <si>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</si>
  <si>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</si>
  <si>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</si>
  <si>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</si>
  <si>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</si>
  <si>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</si>
  <si>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</si>
  <si>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</si>
  <si>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</si>
  <si>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</si>
  <si>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</si>
  <si>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</si>
  <si>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</si>
  <si>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</si>
  <si>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</si>
  <si>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</si>
  <si>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</si>
  <si>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</si>
  <si>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</si>
  <si>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</si>
  <si>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</si>
  <si>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</si>
  <si>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</si>
  <si>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</si>
  <si>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</si>
  <si>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</si>
  <si>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</si>
  <si>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</si>
  <si>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</si>
  <si>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</si>
  <si>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</si>
  <si>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</si>
  <si>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</si>
  <si>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</si>
  <si>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</si>
  <si>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</si>
  <si>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</si>
  <si>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</si>
  <si>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</si>
  <si>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</si>
  <si>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</si>
  <si>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</si>
  <si>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</si>
  <si>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</si>
  <si>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</si>
  <si>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</si>
  <si>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</si>
  <si>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</si>
  <si>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</si>
  <si>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</si>
  <si>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</si>
  <si>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</si>
  <si>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</si>
  <si>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</si>
  <si>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</si>
  <si>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</si>
  <si>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</si>
  <si>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</si>
  <si>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</si>
  <si>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</si>
  <si>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</si>
  <si>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</si>
  <si>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</si>
  <si>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</si>
  <si>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</si>
  <si>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</si>
  <si>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</si>
  <si>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</si>
  <si>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</si>
  <si>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</si>
  <si>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</si>
  <si>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</si>
  <si>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</si>
  <si>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</si>
  <si>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</si>
  <si>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</si>
  <si>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</si>
  <si>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</si>
  <si>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</si>
  <si>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</si>
  <si>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</si>
  <si>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</si>
  <si>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</si>
  <si>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</si>
  <si>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</si>
  <si>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</si>
  <si>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</si>
  <si>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</si>
  <si>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</si>
  <si>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</si>
  <si>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</si>
  <si>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</si>
  <si>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</si>
  <si>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</si>
  <si>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</si>
  <si>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</si>
  <si>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</si>
  <si>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</si>
  <si>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</si>
  <si>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</si>
  <si>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</si>
  <si>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</si>
  <si>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</si>
  <si>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</si>
  <si>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</si>
  <si>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</si>
  <si>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</si>
  <si>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</si>
  <si>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</si>
  <si>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</si>
  <si>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</si>
  <si>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</si>
  <si>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</si>
  <si>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</si>
  <si>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</si>
  <si>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</si>
  <si>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</si>
  <si>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</si>
  <si>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</si>
  <si>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</si>
  <si>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</si>
  <si>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</si>
  <si>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</si>
  <si>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</si>
  <si>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</si>
  <si>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</si>
  <si>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</si>
  <si>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</si>
  <si>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</si>
  <si>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</si>
  <si>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</si>
  <si>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</si>
  <si>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</si>
  <si>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</si>
  <si>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</si>
  <si>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</si>
  <si>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</si>
  <si>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</si>
  <si>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</si>
  <si>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</si>
  <si>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</si>
  <si>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</si>
  <si>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</si>
  <si>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</si>
  <si>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</si>
  <si>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</si>
  <si>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</si>
  <si>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</si>
  <si>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</si>
  <si>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</si>
  <si>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</si>
  <si>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</si>
  <si>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</si>
  <si>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</si>
  <si>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</si>
  <si>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</si>
  <si>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</si>
  <si>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</si>
  <si>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</si>
  <si>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</si>
  <si>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</si>
  <si>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</si>
  <si>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</si>
  <si>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</si>
  <si>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</si>
  <si>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</si>
  <si>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</si>
  <si>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</si>
  <si>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</si>
  <si>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</si>
  <si>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</si>
  <si>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</si>
  <si>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</si>
  <si>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</si>
  <si>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</si>
  <si>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</si>
  <si>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</si>
  <si>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</si>
  <si>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</si>
  <si>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</si>
  <si>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</si>
  <si>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</si>
  <si>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</si>
  <si>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</si>
  <si>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</si>
  <si>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</si>
  <si>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</si>
  <si>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</si>
  <si>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</si>
  <si>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</si>
  <si>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</si>
  <si>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</si>
  <si>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</si>
  <si>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</si>
  <si>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</si>
  <si>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</si>
  <si>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</si>
  <si>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</si>
  <si>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</si>
  <si>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</si>
  <si>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</si>
  <si>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</si>
  <si>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</si>
  <si>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</si>
  <si>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</si>
  <si>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</si>
  <si>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</si>
  <si>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</si>
  <si>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</si>
  <si>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</si>
  <si>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</si>
  <si>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</si>
  <si>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</si>
  <si>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</si>
  <si>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</si>
  <si>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</si>
  <si>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</si>
  <si>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</si>
  <si>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</si>
  <si>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</si>
  <si>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</si>
  <si>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</si>
  <si>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</si>
  <si>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</si>
  <si>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</si>
  <si>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</si>
  <si>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</si>
  <si>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</si>
  <si>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</si>
  <si>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</si>
  <si>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</si>
  <si>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</si>
  <si>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</si>
  <si>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</si>
  <si>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</si>
  <si>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</si>
  <si>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</si>
  <si>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</si>
  <si>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</si>
  <si>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</si>
  <si>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</si>
  <si>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</si>
  <si>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</si>
  <si>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</si>
  <si>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</si>
  <si>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</si>
  <si>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</si>
  <si>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</si>
  <si>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</si>
  <si>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</si>
  <si>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</si>
  <si>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</si>
  <si>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</si>
  <si>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</si>
  <si>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</si>
  <si>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</si>
  <si>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</si>
  <si>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</si>
  <si>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</si>
  <si>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</si>
  <si>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</si>
  <si>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</si>
  <si>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</si>
  <si>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</si>
  <si>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</si>
  <si>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</si>
  <si>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</si>
  <si>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</si>
  <si>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</si>
  <si>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</si>
  <si>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</si>
  <si>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</si>
  <si>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</si>
  <si>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</si>
  <si>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</si>
  <si>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</si>
  <si>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</si>
  <si>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</si>
  <si>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</si>
  <si>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</si>
  <si>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</si>
  <si>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</si>
  <si>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</si>
  <si>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</si>
  <si>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</si>
  <si>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</si>
  <si>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</si>
  <si>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</si>
  <si>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</si>
  <si>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</si>
  <si>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</si>
  <si>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</si>
  <si>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</si>
  <si>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</si>
  <si>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</si>
  <si>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</si>
  <si>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</si>
  <si>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</si>
  <si>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</si>
  <si>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</si>
  <si>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</si>
  <si>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</si>
  <si>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</si>
  <si>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</si>
  <si>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</si>
  <si>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</si>
  <si>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</si>
  <si>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</si>
  <si>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</si>
  <si>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</si>
  <si>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</si>
  <si>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</si>
  <si>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</si>
  <si>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</si>
  <si>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</si>
  <si>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</si>
  <si>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</si>
  <si>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</si>
  <si>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</si>
  <si>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</si>
  <si>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</si>
  <si>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</si>
  <si>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</si>
  <si>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</si>
  <si>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</si>
  <si>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</si>
  <si>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</si>
  <si>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</si>
  <si>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</si>
  <si>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</si>
  <si>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</si>
  <si>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</si>
  <si>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</si>
  <si>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</si>
  <si>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</si>
  <si>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</si>
  <si>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</si>
  <si>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</si>
  <si>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</si>
  <si>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</si>
  <si>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</si>
  <si>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</si>
  <si>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</si>
  <si>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</si>
  <si>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</si>
  <si>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</si>
  <si>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</si>
  <si>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</si>
  <si>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</si>
  <si>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</si>
  <si>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</si>
  <si>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</si>
  <si>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</si>
  <si>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</si>
  <si>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</si>
  <si>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</si>
  <si>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</si>
  <si>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</si>
  <si>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</si>
  <si>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</si>
  <si>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</si>
  <si>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</si>
  <si>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</si>
  <si>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</si>
  <si>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</si>
  <si>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</si>
  <si>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</si>
  <si>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</si>
  <si>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</si>
  <si>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</si>
  <si>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</si>
  <si>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</si>
  <si>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</si>
  <si>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</si>
  <si>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</si>
  <si>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</si>
  <si>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</si>
  <si>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</si>
  <si>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</si>
  <si>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</si>
  <si>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</si>
  <si>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</si>
  <si>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</si>
  <si>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</si>
  <si>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</si>
  <si>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</si>
  <si>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</si>
  <si>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</si>
  <si>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</si>
  <si>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</si>
  <si>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</si>
  <si>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</si>
  <si>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</si>
  <si>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</si>
  <si>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</si>
  <si>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</si>
  <si>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</si>
  <si>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</si>
  <si>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</si>
  <si>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</si>
  <si>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</si>
  <si>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</si>
  <si>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</si>
  <si>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</si>
  <si>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</si>
  <si>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</si>
  <si>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</si>
  <si>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</si>
  <si>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</si>
  <si>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</si>
  <si>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</si>
  <si>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</si>
  <si>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</si>
  <si>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</si>
  <si>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</si>
  <si>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</si>
  <si>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</si>
  <si>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</si>
  <si>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</si>
  <si>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</si>
  <si>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</si>
  <si>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</si>
  <si>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</si>
  <si>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</si>
  <si>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</si>
  <si>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</si>
  <si>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</si>
  <si>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</si>
  <si>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</si>
  <si>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</si>
  <si>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</si>
  <si>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ФИНАНСОВ НАДЗОР</t>
  </si>
  <si>
    <t>vasileva_m@fsc.bg</t>
  </si>
  <si>
    <t>ГР.СОФИЯ, УЛ.БУДАПЕЩА 16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</si>
</sst>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68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5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8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1" fillId="33" borderId="29" xfId="0" applyNumberFormat="1" applyFont="1" applyFill="1" applyBorder="1" applyAlignment="1" applyProtection="1">
      <alignment horizontal="center"/>
      <protection locked="0"/>
    </xf>
    <xf numFmtId="177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5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8" fillId="39" borderId="104" xfId="0" applyNumberFormat="1" applyFont="1" applyFill="1" applyBorder="1" applyAlignment="1" applyProtection="1" quotePrefix="1">
      <alignment horizontal="center"/>
      <protection/>
    </xf>
    <xf numFmtId="185" fontId="164" fillId="41" borderId="104" xfId="0" applyNumberFormat="1" applyFont="1" applyFill="1" applyBorder="1" applyAlignment="1" applyProtection="1" quotePrefix="1">
      <alignment horizontal="center"/>
      <protection/>
    </xf>
    <xf numFmtId="185" fontId="165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8" fillId="38" borderId="107" xfId="0" applyNumberFormat="1" applyFont="1" applyFill="1" applyBorder="1" applyAlignment="1" applyProtection="1">
      <alignment horizontal="center"/>
      <protection/>
    </xf>
    <xf numFmtId="176" fontId="166" fillId="38" borderId="106" xfId="0" applyNumberFormat="1" applyFont="1" applyFill="1" applyBorder="1" applyAlignment="1" applyProtection="1">
      <alignment horizontal="center"/>
      <protection/>
    </xf>
    <xf numFmtId="176" fontId="166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7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68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74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2" fillId="33" borderId="29" xfId="64" applyNumberFormat="1" applyFont="1" applyFill="1" applyBorder="1" applyAlignment="1" applyProtection="1">
      <alignment horizontal="center" vertical="center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4" fillId="33" borderId="73" xfId="0" applyNumberFormat="1" applyFont="1" applyFill="1" applyBorder="1" applyAlignment="1" applyProtection="1" quotePrefix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4" fillId="33" borderId="118" xfId="0" applyNumberFormat="1" applyFont="1" applyFill="1" applyBorder="1" applyAlignment="1" applyProtection="1" quotePrefix="1">
      <alignment/>
      <protection/>
    </xf>
    <xf numFmtId="168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4" fillId="32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168" fontId="174" fillId="33" borderId="88" xfId="0" applyNumberFormat="1" applyFont="1" applyFill="1" applyBorder="1" applyAlignment="1" applyProtection="1" quotePrefix="1">
      <alignment/>
      <protection/>
    </xf>
    <xf numFmtId="168" fontId="175" fillId="33" borderId="89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6" fillId="51" borderId="120" xfId="0" applyNumberFormat="1" applyFont="1" applyFill="1" applyBorder="1" applyAlignment="1" applyProtection="1">
      <alignment horizontal="center"/>
      <protection/>
    </xf>
    <xf numFmtId="176" fontId="177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177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7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8" fillId="38" borderId="122" xfId="0" applyNumberFormat="1" applyFont="1" applyFill="1" applyBorder="1" applyAlignment="1" applyProtection="1">
      <alignment horizontal="center"/>
      <protection/>
    </xf>
    <xf numFmtId="176" fontId="166" fillId="38" borderId="121" xfId="0" applyNumberFormat="1" applyFont="1" applyFill="1" applyBorder="1" applyAlignment="1" applyProtection="1">
      <alignment horizontal="center"/>
      <protection/>
    </xf>
    <xf numFmtId="176" fontId="166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7" fillId="32" borderId="0" xfId="0" applyNumberFormat="1" applyFont="1" applyFill="1" applyBorder="1" applyAlignment="1" applyProtection="1" quotePrefix="1">
      <alignment horizontal="center"/>
      <protection/>
    </xf>
    <xf numFmtId="168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2" fillId="39" borderId="29" xfId="0" applyNumberFormat="1" applyFont="1" applyFill="1" applyBorder="1" applyAlignment="1" applyProtection="1">
      <alignment horizontal="center"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85" fontId="158" fillId="39" borderId="29" xfId="0" applyNumberFormat="1" applyFont="1" applyFill="1" applyBorder="1" applyAlignment="1" applyProtection="1" quotePrefix="1">
      <alignment horizontal="center"/>
      <protection/>
    </xf>
    <xf numFmtId="173" fontId="159" fillId="41" borderId="29" xfId="0" applyNumberFormat="1" applyFont="1" applyFill="1" applyBorder="1" applyAlignment="1" applyProtection="1" quotePrefix="1">
      <alignment horizontal="center"/>
      <protection/>
    </xf>
    <xf numFmtId="185" fontId="164" fillId="41" borderId="29" xfId="0" applyNumberFormat="1" applyFont="1" applyFill="1" applyBorder="1" applyAlignment="1" applyProtection="1" quotePrefix="1">
      <alignment horizontal="center"/>
      <protection/>
    </xf>
    <xf numFmtId="173" fontId="164" fillId="41" borderId="29" xfId="0" applyNumberFormat="1" applyFont="1" applyFill="1" applyBorder="1" applyAlignment="1" applyProtection="1" quotePrefix="1">
      <alignment horizontal="center"/>
      <protection/>
    </xf>
    <xf numFmtId="173" fontId="171" fillId="49" borderId="29" xfId="0" applyNumberFormat="1" applyFont="1" applyFill="1" applyBorder="1" applyAlignment="1" applyProtection="1" quotePrefix="1">
      <alignment horizontal="center"/>
      <protection/>
    </xf>
    <xf numFmtId="185" fontId="165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5" fillId="39" borderId="104" xfId="0" applyNumberFormat="1" applyFont="1" applyFill="1" applyBorder="1" applyAlignment="1" applyProtection="1" quotePrefix="1">
      <alignment horizontal="center"/>
      <protection/>
    </xf>
    <xf numFmtId="205" fontId="159" fillId="41" borderId="104" xfId="0" applyNumberFormat="1" applyFont="1" applyFill="1" applyBorder="1" applyAlignment="1" applyProtection="1" quotePrefix="1">
      <alignment horizontal="center"/>
      <protection/>
    </xf>
    <xf numFmtId="205" fontId="171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6" fillId="32" borderId="47" xfId="0" applyNumberFormat="1" applyFont="1" applyFill="1" applyBorder="1" applyAlignment="1" applyProtection="1">
      <alignment horizontal="center"/>
      <protection locked="0"/>
    </xf>
    <xf numFmtId="205" fontId="185" fillId="39" borderId="29" xfId="0" applyNumberFormat="1" applyFont="1" applyFill="1" applyBorder="1" applyAlignment="1" applyProtection="1">
      <alignment horizontal="center"/>
      <protection/>
    </xf>
    <xf numFmtId="205" fontId="159" fillId="41" borderId="29" xfId="0" applyNumberFormat="1" applyFont="1" applyFill="1" applyBorder="1" applyAlignment="1" applyProtection="1" quotePrefix="1">
      <alignment horizontal="center"/>
      <protection/>
    </xf>
    <xf numFmtId="205" fontId="171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7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69" fillId="33" borderId="0" xfId="57" applyNumberFormat="1" applyFont="1" applyFill="1" applyBorder="1" applyAlignment="1">
      <alignment/>
      <protection/>
    </xf>
    <xf numFmtId="172" fontId="69" fillId="38" borderId="0" xfId="57" applyNumberFormat="1" applyFont="1" applyFill="1" applyBorder="1" applyAlignment="1">
      <alignment/>
      <protection/>
    </xf>
    <xf numFmtId="204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69" fillId="32" borderId="20" xfId="57" applyNumberFormat="1" applyFont="1" applyFill="1" applyBorder="1">
      <alignment/>
      <protection/>
    </xf>
    <xf numFmtId="170" fontId="69" fillId="32" borderId="20" xfId="57" applyNumberFormat="1" applyFont="1" applyFill="1" applyBorder="1" applyAlignment="1">
      <alignment horizontal="left"/>
      <protection/>
    </xf>
    <xf numFmtId="194" fontId="24" fillId="33" borderId="0" xfId="57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69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7" fontId="155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69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69" fillId="33" borderId="0" xfId="57" applyNumberFormat="1" applyFont="1" applyFill="1" applyBorder="1" applyAlignment="1">
      <alignment horizontal="center"/>
      <protection/>
    </xf>
    <xf numFmtId="172" fontId="69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02" fontId="189" fillId="55" borderId="0" xfId="63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200" fontId="190" fillId="48" borderId="45" xfId="65" applyNumberFormat="1" applyFont="1" applyFill="1" applyBorder="1" applyAlignment="1" applyProtection="1">
      <alignment horizontal="left"/>
      <protection/>
    </xf>
    <xf numFmtId="200" fontId="190" fillId="48" borderId="31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3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38" fontId="191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1" fillId="33" borderId="51" xfId="65" applyNumberFormat="1" applyFont="1" applyFill="1" applyBorder="1" applyAlignment="1" applyProtection="1">
      <alignment horizontal="center"/>
      <protection/>
    </xf>
    <xf numFmtId="38" fontId="191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1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2" fillId="36" borderId="45" xfId="53" applyFont="1" applyFill="1" applyBorder="1" applyAlignment="1" applyProtection="1">
      <alignment horizontal="center" vertical="center"/>
      <protection locked="0"/>
    </xf>
    <xf numFmtId="0" fontId="192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3" fillId="33" borderId="45" xfId="53" applyNumberFormat="1" applyFont="1" applyFill="1" applyBorder="1" applyAlignment="1" applyProtection="1">
      <alignment horizontal="center" vertical="center"/>
      <protection locked="0"/>
    </xf>
    <xf numFmtId="38" fontId="193" fillId="33" borderId="31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9" fontId="159" fillId="33" borderId="30" xfId="60" applyNumberFormat="1" applyFont="1" applyFill="1" applyBorder="1" applyAlignment="1" applyProtection="1">
      <alignment horizontal="center"/>
      <protection/>
    </xf>
    <xf numFmtId="179" fontId="159" fillId="33" borderId="45" xfId="60" applyNumberFormat="1" applyFont="1" applyFill="1" applyBorder="1" applyAlignment="1" applyProtection="1">
      <alignment horizontal="center"/>
      <protection/>
    </xf>
    <xf numFmtId="179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5" fillId="32" borderId="47" xfId="57" applyFont="1" applyFill="1" applyBorder="1" applyAlignment="1" applyProtection="1" quotePrefix="1">
      <alignment horizontal="center"/>
      <protection/>
    </xf>
    <xf numFmtId="0" fontId="196" fillId="38" borderId="28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3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180" fontId="199" fillId="45" borderId="30" xfId="57" applyNumberFormat="1" applyFont="1" applyFill="1" applyBorder="1" applyAlignment="1" applyProtection="1">
      <alignment horizontal="center" vertical="center"/>
      <protection locked="0"/>
    </xf>
    <xf numFmtId="180" fontId="199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201" fontId="200" fillId="32" borderId="0" xfId="0" applyNumberFormat="1" applyFont="1" applyFill="1" applyAlignment="1" applyProtection="1">
      <alignment horizontal="center"/>
      <protection/>
    </xf>
    <xf numFmtId="201" fontId="200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199" fillId="45" borderId="30" xfId="57" applyNumberFormat="1" applyFont="1" applyFill="1" applyBorder="1" applyAlignment="1" applyProtection="1">
      <alignment horizontal="center" vertical="center"/>
      <protection/>
    </xf>
    <xf numFmtId="180" fontId="199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1" fillId="36" borderId="30" xfId="53" applyFont="1" applyFill="1" applyBorder="1" applyAlignment="1" applyProtection="1">
      <alignment horizontal="center" vertical="center"/>
      <protection/>
    </xf>
    <xf numFmtId="0" fontId="201" fillId="36" borderId="45" xfId="53" applyFont="1" applyFill="1" applyBorder="1" applyAlignment="1" applyProtection="1">
      <alignment horizontal="center" vertical="center"/>
      <protection/>
    </xf>
    <xf numFmtId="0" fontId="201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7" fillId="33" borderId="118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02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286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355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298</v>
      </c>
      <c r="E14" s="66"/>
      <c r="F14" s="66"/>
      <c r="G14" s="66"/>
      <c r="H14" s="608">
        <f>+H7</f>
        <v>2021</v>
      </c>
      <c r="I14" s="607" t="s">
        <v>299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362</v>
      </c>
      <c r="E17" s="609">
        <f>+H7-1</f>
        <v>2020</v>
      </c>
      <c r="F17" s="464" t="s">
        <v>363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365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298</v>
      </c>
      <c r="E21" s="66"/>
      <c r="F21" s="66"/>
      <c r="G21" s="66"/>
      <c r="H21" s="609">
        <f>+H7-1</f>
        <v>2020</v>
      </c>
      <c r="I21" s="607" t="s">
        <v>299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373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264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378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267</v>
      </c>
      <c r="E41" s="66"/>
      <c r="F41" s="612"/>
      <c r="G41" s="612"/>
      <c r="H41" s="612"/>
      <c r="I41" s="582"/>
      <c r="J41" s="613">
        <f>+H7-1</f>
        <v>2020</v>
      </c>
      <c r="K41" s="66" t="s">
        <v>265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266</v>
      </c>
      <c r="E42" s="66"/>
      <c r="F42" s="612"/>
      <c r="G42" s="667">
        <f>+H7-1</f>
        <v>2020</v>
      </c>
      <c r="H42" s="667"/>
      <c r="I42" s="614" t="s">
        <v>380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382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334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386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335</v>
      </c>
      <c r="E57" s="66"/>
      <c r="F57" s="66"/>
      <c r="G57" s="66"/>
      <c r="H57" s="66"/>
      <c r="I57" s="649">
        <f>+H7</f>
        <v>2021</v>
      </c>
      <c r="J57" s="649"/>
      <c r="K57" s="616" t="s">
        <v>387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388</v>
      </c>
      <c r="E59" s="671">
        <f>+H7</f>
        <v>2021</v>
      </c>
      <c r="F59" s="671"/>
      <c r="G59" s="671"/>
      <c r="H59" s="671"/>
      <c r="I59" s="671"/>
      <c r="J59" s="671"/>
      <c r="K59" s="618" t="s">
        <v>389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390</v>
      </c>
      <c r="E60" s="672">
        <f>+H7</f>
        <v>2021</v>
      </c>
      <c r="F60" s="672"/>
      <c r="G60" s="672"/>
      <c r="H60" s="672"/>
      <c r="I60" s="672"/>
      <c r="J60" s="672"/>
      <c r="K60" s="620" t="s">
        <v>391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392</v>
      </c>
      <c r="E61" s="665">
        <f>+H7</f>
        <v>2021</v>
      </c>
      <c r="F61" s="665"/>
      <c r="G61" s="665"/>
      <c r="H61" s="665"/>
      <c r="I61" s="665"/>
      <c r="J61" s="665"/>
      <c r="K61" s="622" t="s">
        <v>393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394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336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337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396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397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398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399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400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339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401</v>
      </c>
      <c r="E75" s="66"/>
      <c r="F75" s="66"/>
      <c r="G75" s="66"/>
      <c r="H75" s="581"/>
      <c r="I75" s="650">
        <f>+H7</f>
        <v>2021</v>
      </c>
      <c r="J75" s="650"/>
      <c r="K75" s="66" t="s">
        <v>340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334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386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335</v>
      </c>
      <c r="E82" s="66"/>
      <c r="F82" s="66"/>
      <c r="G82" s="66"/>
      <c r="H82" s="66"/>
      <c r="I82" s="649">
        <f>+H7</f>
        <v>2021</v>
      </c>
      <c r="J82" s="649"/>
      <c r="K82" s="616" t="s">
        <v>404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388</v>
      </c>
      <c r="E84" s="648">
        <f>+H7</f>
        <v>2021</v>
      </c>
      <c r="F84" s="648"/>
      <c r="G84" s="648"/>
      <c r="H84" s="648"/>
      <c r="I84" s="648"/>
      <c r="J84" s="648"/>
      <c r="K84" s="618" t="s">
        <v>405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390</v>
      </c>
      <c r="E85" s="652">
        <f>+H7</f>
        <v>2021</v>
      </c>
      <c r="F85" s="652"/>
      <c r="G85" s="652"/>
      <c r="H85" s="652"/>
      <c r="I85" s="652"/>
      <c r="J85" s="652"/>
      <c r="K85" s="620" t="s">
        <v>406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392</v>
      </c>
      <c r="E86" s="653">
        <f>+H7</f>
        <v>2021</v>
      </c>
      <c r="F86" s="653"/>
      <c r="G86" s="653"/>
      <c r="H86" s="653"/>
      <c r="I86" s="653"/>
      <c r="J86" s="653"/>
      <c r="K86" s="622" t="s">
        <v>407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408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336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337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334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386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302</v>
      </c>
      <c r="E98" s="66"/>
      <c r="F98" s="66"/>
      <c r="G98" s="66"/>
      <c r="H98" s="66"/>
      <c r="I98" s="662">
        <f>+H7-1</f>
        <v>2020</v>
      </c>
      <c r="J98" s="662"/>
      <c r="K98" s="616" t="s">
        <v>387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388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411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390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412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392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413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394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336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337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396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397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398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399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400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415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303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401</v>
      </c>
      <c r="E116" s="66"/>
      <c r="F116" s="66"/>
      <c r="G116" s="66"/>
      <c r="H116" s="551"/>
      <c r="I116" s="650">
        <f>+H7</f>
        <v>2021</v>
      </c>
      <c r="J116" s="650"/>
      <c r="K116" s="66" t="s">
        <v>416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334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386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302</v>
      </c>
      <c r="E123" s="66"/>
      <c r="F123" s="66"/>
      <c r="G123" s="66"/>
      <c r="H123" s="66"/>
      <c r="I123" s="662">
        <f>+H7-1</f>
        <v>2020</v>
      </c>
      <c r="J123" s="662"/>
      <c r="K123" s="616" t="s">
        <v>404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388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418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390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419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392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420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408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336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337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321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322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323</v>
      </c>
      <c r="E137" s="66"/>
      <c r="F137" s="66"/>
      <c r="G137" s="66"/>
      <c r="H137" s="649">
        <f>+H7</f>
        <v>2021</v>
      </c>
      <c r="I137" s="649"/>
      <c r="J137" s="66" t="s">
        <v>324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422</v>
      </c>
      <c r="E138" s="66"/>
      <c r="F138" s="66"/>
      <c r="G138" s="581"/>
      <c r="H138" s="581"/>
      <c r="I138" s="650">
        <f>+H7</f>
        <v>2021</v>
      </c>
      <c r="J138" s="650"/>
      <c r="K138" s="66" t="s">
        <v>325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333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302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427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327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326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428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429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328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431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433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434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332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330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331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435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440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441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442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443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342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444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445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446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447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330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301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448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449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45" sqref="J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454</v>
      </c>
      <c r="C1" s="717"/>
      <c r="D1" s="717"/>
      <c r="E1" s="717"/>
      <c r="F1" s="718"/>
      <c r="G1" s="436" t="s">
        <v>244</v>
      </c>
      <c r="H1" s="429"/>
      <c r="I1" s="704">
        <v>131060676</v>
      </c>
      <c r="J1" s="705"/>
      <c r="K1" s="430"/>
      <c r="L1" s="438" t="s">
        <v>245</v>
      </c>
      <c r="M1" s="434">
        <v>4700</v>
      </c>
      <c r="N1" s="430"/>
      <c r="O1" s="438" t="s">
        <v>239</v>
      </c>
      <c r="P1" s="455">
        <v>29404695</v>
      </c>
      <c r="Q1" s="431"/>
      <c r="R1" s="347" t="s">
        <v>276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456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 t="s">
        <v>455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КОМИСИЯ ЗА ФИНАНСОВ НАДЗОР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345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31.03.2021 г.</v>
      </c>
      <c r="G11" s="399">
        <f>+P5-1</f>
        <v>2020</v>
      </c>
      <c r="H11" s="15"/>
      <c r="I11" s="592" t="str">
        <f>+O8</f>
        <v>31.03.2021 г.</v>
      </c>
      <c r="J11" s="400">
        <f>+P5-1</f>
        <v>2020</v>
      </c>
      <c r="K11" s="16"/>
      <c r="L11" s="593" t="str">
        <f>+O8</f>
        <v>31.03.2021 г.</v>
      </c>
      <c r="M11" s="401">
        <f>+P5-1</f>
        <v>2020</v>
      </c>
      <c r="N11" s="16"/>
      <c r="O11" s="594" t="str">
        <f>+O8</f>
        <v>31.03.2021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343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344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33" t="s">
        <v>149</v>
      </c>
      <c r="S15" s="734"/>
      <c r="T15" s="735"/>
      <c r="U15" s="34"/>
      <c r="V15" s="2"/>
      <c r="W15" s="107" t="s">
        <v>345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282</v>
      </c>
      <c r="C16" s="155"/>
      <c r="D16" s="156"/>
      <c r="E16" s="15"/>
      <c r="F16" s="237">
        <v>14820678</v>
      </c>
      <c r="G16" s="236">
        <v>17812019</v>
      </c>
      <c r="H16" s="15"/>
      <c r="I16" s="237"/>
      <c r="J16" s="236"/>
      <c r="K16" s="230"/>
      <c r="L16" s="237"/>
      <c r="M16" s="236"/>
      <c r="N16" s="230"/>
      <c r="O16" s="364">
        <f t="shared" si="0"/>
        <v>14820678</v>
      </c>
      <c r="P16" s="387">
        <f t="shared" si="0"/>
        <v>17812019</v>
      </c>
      <c r="Q16" s="31"/>
      <c r="R16" s="741" t="s">
        <v>283</v>
      </c>
      <c r="S16" s="742"/>
      <c r="T16" s="743"/>
      <c r="U16" s="34"/>
      <c r="V16" s="2"/>
      <c r="W16" s="220" t="s">
        <v>346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284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278</v>
      </c>
      <c r="S17" s="748"/>
      <c r="T17" s="749"/>
      <c r="U17" s="34"/>
      <c r="V17" s="2"/>
      <c r="W17" s="218" t="s">
        <v>347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722842</v>
      </c>
      <c r="G18" s="232">
        <v>3169308</v>
      </c>
      <c r="H18" s="15"/>
      <c r="I18" s="233"/>
      <c r="J18" s="232"/>
      <c r="K18" s="230"/>
      <c r="L18" s="233"/>
      <c r="M18" s="232"/>
      <c r="N18" s="230"/>
      <c r="O18" s="368">
        <f t="shared" si="0"/>
        <v>722842</v>
      </c>
      <c r="P18" s="381">
        <f t="shared" si="0"/>
        <v>3169308</v>
      </c>
      <c r="Q18" s="31"/>
      <c r="R18" s="733" t="s">
        <v>150</v>
      </c>
      <c r="S18" s="734"/>
      <c r="T18" s="735"/>
      <c r="U18" s="34"/>
      <c r="V18" s="2"/>
      <c r="W18" s="107" t="s">
        <v>348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744" t="s">
        <v>151</v>
      </c>
      <c r="S19" s="745"/>
      <c r="T19" s="746"/>
      <c r="U19" s="34"/>
      <c r="V19" s="2"/>
      <c r="W19" s="220" t="s">
        <v>349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677</v>
      </c>
      <c r="G20" s="234">
        <v>902</v>
      </c>
      <c r="H20" s="15"/>
      <c r="I20" s="235"/>
      <c r="J20" s="234"/>
      <c r="K20" s="230"/>
      <c r="L20" s="235"/>
      <c r="M20" s="234"/>
      <c r="N20" s="230"/>
      <c r="O20" s="363">
        <f t="shared" si="0"/>
        <v>677</v>
      </c>
      <c r="P20" s="415">
        <f t="shared" si="0"/>
        <v>902</v>
      </c>
      <c r="Q20" s="31"/>
      <c r="R20" s="744" t="s">
        <v>152</v>
      </c>
      <c r="S20" s="745"/>
      <c r="T20" s="746"/>
      <c r="U20" s="34"/>
      <c r="V20" s="2"/>
      <c r="W20" s="218" t="s">
        <v>350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351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744" t="s">
        <v>154</v>
      </c>
      <c r="S22" s="745"/>
      <c r="T22" s="746"/>
      <c r="U22" s="34"/>
      <c r="V22" s="2"/>
      <c r="W22" s="220" t="s">
        <v>352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353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10854</v>
      </c>
      <c r="G24" s="236">
        <v>26554</v>
      </c>
      <c r="H24" s="15"/>
      <c r="I24" s="237"/>
      <c r="J24" s="236"/>
      <c r="K24" s="230"/>
      <c r="L24" s="237"/>
      <c r="M24" s="236"/>
      <c r="N24" s="230"/>
      <c r="O24" s="364">
        <f t="shared" si="0"/>
        <v>10854</v>
      </c>
      <c r="P24" s="387">
        <f t="shared" si="0"/>
        <v>26554</v>
      </c>
      <c r="Q24" s="31"/>
      <c r="R24" s="750" t="s">
        <v>279</v>
      </c>
      <c r="S24" s="751"/>
      <c r="T24" s="752"/>
      <c r="U24" s="34"/>
      <c r="V24" s="2"/>
      <c r="W24" s="107" t="s">
        <v>354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15555051</v>
      </c>
      <c r="G25" s="238">
        <f>+ROUND(+SUM(G15,G16,G18,G19,G20,G21,G22,G23,G24),0)</f>
        <v>21008783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15555051</v>
      </c>
      <c r="P25" s="366">
        <f>+ROUND(+SUM(P15,P16,P18,P19,P20,P21,P22,P23,P24),0)</f>
        <v>21008783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254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255</v>
      </c>
      <c r="C37" s="148"/>
      <c r="D37" s="149"/>
      <c r="E37" s="15"/>
      <c r="F37" s="251">
        <v>-45950</v>
      </c>
      <c r="G37" s="250">
        <v>-188136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-45950</v>
      </c>
      <c r="P37" s="366">
        <f t="shared" si="2"/>
        <v>-188136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/>
      <c r="G39" s="254">
        <v>-27</v>
      </c>
      <c r="H39" s="15"/>
      <c r="I39" s="255"/>
      <c r="J39" s="254"/>
      <c r="K39" s="230"/>
      <c r="L39" s="255"/>
      <c r="M39" s="254"/>
      <c r="N39" s="230"/>
      <c r="O39" s="379">
        <f t="shared" si="2"/>
        <v>0</v>
      </c>
      <c r="P39" s="417">
        <f t="shared" si="2"/>
        <v>-27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>
        <v>879</v>
      </c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879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250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0</v>
      </c>
      <c r="P48" s="366">
        <f>+ROUND(+SUM(P44:P47),0)</f>
        <v>0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15509101</v>
      </c>
      <c r="G50" s="260">
        <f>+ROUND(G25+G30+G37+G42+G48,0)</f>
        <v>20821526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15509101</v>
      </c>
      <c r="P50" s="383">
        <f>+ROUND(P25+P30+P37+P42+P48,0)</f>
        <v>20821526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1126928</v>
      </c>
      <c r="G53" s="262">
        <v>4351816</v>
      </c>
      <c r="H53" s="15"/>
      <c r="I53" s="263"/>
      <c r="J53" s="262"/>
      <c r="K53" s="230"/>
      <c r="L53" s="263"/>
      <c r="M53" s="262"/>
      <c r="N53" s="230"/>
      <c r="O53" s="369">
        <f aca="true" t="shared" si="4" ref="O53:P57">+ROUND(+F53+I53+L53,0)</f>
        <v>1126928</v>
      </c>
      <c r="P53" s="362">
        <f t="shared" si="4"/>
        <v>4351816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25115</v>
      </c>
      <c r="G54" s="236">
        <v>13500</v>
      </c>
      <c r="H54" s="15"/>
      <c r="I54" s="237"/>
      <c r="J54" s="236"/>
      <c r="K54" s="230"/>
      <c r="L54" s="237"/>
      <c r="M54" s="236"/>
      <c r="N54" s="230"/>
      <c r="O54" s="364">
        <f t="shared" si="4"/>
        <v>25115</v>
      </c>
      <c r="P54" s="387">
        <f t="shared" si="4"/>
        <v>13500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3687</v>
      </c>
      <c r="G55" s="236">
        <v>42079</v>
      </c>
      <c r="H55" s="15"/>
      <c r="I55" s="237"/>
      <c r="J55" s="236"/>
      <c r="K55" s="230"/>
      <c r="L55" s="237"/>
      <c r="M55" s="236"/>
      <c r="N55" s="230"/>
      <c r="O55" s="364">
        <f t="shared" si="4"/>
        <v>3687</v>
      </c>
      <c r="P55" s="387">
        <f t="shared" si="4"/>
        <v>42079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2611861</v>
      </c>
      <c r="G56" s="236">
        <v>10758756</v>
      </c>
      <c r="H56" s="15"/>
      <c r="I56" s="237"/>
      <c r="J56" s="236"/>
      <c r="K56" s="230"/>
      <c r="L56" s="237"/>
      <c r="M56" s="236"/>
      <c r="N56" s="230"/>
      <c r="O56" s="364">
        <f t="shared" si="4"/>
        <v>2611861</v>
      </c>
      <c r="P56" s="387">
        <f t="shared" si="4"/>
        <v>10758756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358419</v>
      </c>
      <c r="G57" s="236">
        <v>1386072</v>
      </c>
      <c r="H57" s="15"/>
      <c r="I57" s="237"/>
      <c r="J57" s="236"/>
      <c r="K57" s="230"/>
      <c r="L57" s="237"/>
      <c r="M57" s="236"/>
      <c r="N57" s="230"/>
      <c r="O57" s="364">
        <f t="shared" si="4"/>
        <v>358419</v>
      </c>
      <c r="P57" s="387">
        <f t="shared" si="4"/>
        <v>1386072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4126010</v>
      </c>
      <c r="G58" s="264">
        <f>+ROUND(+SUM(G53:G57),0)</f>
        <v>16552223</v>
      </c>
      <c r="H58" s="15"/>
      <c r="I58" s="265">
        <f>+ROUND(+SUM(I53:I57),0)</f>
        <v>0</v>
      </c>
      <c r="J58" s="264">
        <f>+ROUND(+SUM(J53:J57),0)</f>
        <v>0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4126010</v>
      </c>
      <c r="P58" s="385">
        <f>+ROUND(+SUM(P53:P57),0)</f>
        <v>16552223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2786</v>
      </c>
      <c r="G61" s="236">
        <v>150916</v>
      </c>
      <c r="H61" s="15"/>
      <c r="I61" s="237"/>
      <c r="J61" s="236"/>
      <c r="K61" s="230"/>
      <c r="L61" s="237"/>
      <c r="M61" s="236"/>
      <c r="N61" s="230"/>
      <c r="O61" s="364">
        <f t="shared" si="5"/>
        <v>2786</v>
      </c>
      <c r="P61" s="387">
        <f t="shared" si="5"/>
        <v>150916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10489</v>
      </c>
      <c r="G62" s="236">
        <v>337469</v>
      </c>
      <c r="H62" s="15"/>
      <c r="I62" s="237"/>
      <c r="J62" s="236"/>
      <c r="K62" s="230"/>
      <c r="L62" s="237"/>
      <c r="M62" s="236"/>
      <c r="N62" s="230"/>
      <c r="O62" s="364">
        <f t="shared" si="5"/>
        <v>10489</v>
      </c>
      <c r="P62" s="387">
        <f t="shared" si="5"/>
        <v>337469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251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13275</v>
      </c>
      <c r="G65" s="264">
        <f>+ROUND(+SUM(G60:G63),0)</f>
        <v>488385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13275</v>
      </c>
      <c r="P65" s="385">
        <f>+ROUND(+SUM(P60:P63),0)</f>
        <v>488385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252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/>
      <c r="G71" s="262"/>
      <c r="H71" s="15"/>
      <c r="I71" s="263"/>
      <c r="J71" s="262"/>
      <c r="K71" s="230"/>
      <c r="L71" s="263"/>
      <c r="M71" s="262"/>
      <c r="N71" s="230"/>
      <c r="O71" s="369">
        <f>+ROUND(+F71+I71+L71,0)</f>
        <v>0</v>
      </c>
      <c r="P71" s="362">
        <f>+ROUND(+G71+J71+M71,0)</f>
        <v>0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0</v>
      </c>
      <c r="G73" s="264">
        <f>+ROUND(+SUM(G71:G72),0)</f>
        <v>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0</v>
      </c>
      <c r="P73" s="385">
        <f>+ROUND(+SUM(P71:P72),0)</f>
        <v>0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/>
      <c r="J75" s="262"/>
      <c r="K75" s="230"/>
      <c r="L75" s="263"/>
      <c r="M75" s="262"/>
      <c r="N75" s="230"/>
      <c r="O75" s="369">
        <f>+ROUND(+F75+I75+L75,0)</f>
        <v>0</v>
      </c>
      <c r="P75" s="362">
        <f>+ROUND(+G75+J75+M75,0)</f>
        <v>0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0</v>
      </c>
      <c r="P77" s="385">
        <f>+ROUND(+SUM(P75:P76),0)</f>
        <v>0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257</v>
      </c>
      <c r="C79" s="186"/>
      <c r="D79" s="187"/>
      <c r="E79" s="15"/>
      <c r="F79" s="272">
        <f>+ROUND(F58+F65+F69+F73+F77,0)</f>
        <v>4139285</v>
      </c>
      <c r="G79" s="275">
        <f>+ROUND(G58+G65+G69+G73+G77,0)</f>
        <v>17040608</v>
      </c>
      <c r="H79" s="15"/>
      <c r="I79" s="272">
        <f>+ROUND(I58+I65+I69+I73+I77,0)</f>
        <v>0</v>
      </c>
      <c r="J79" s="275">
        <f>+ROUND(J58+J65+J69+J73+J77,0)</f>
        <v>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4139285</v>
      </c>
      <c r="P79" s="395">
        <f>+ROUND(P58+P65+P69+P73+P77,0)</f>
        <v>17040608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256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-11360031</v>
      </c>
      <c r="G81" s="232">
        <v>-3781179</v>
      </c>
      <c r="H81" s="15"/>
      <c r="I81" s="233"/>
      <c r="J81" s="232"/>
      <c r="K81" s="230"/>
      <c r="L81" s="233"/>
      <c r="M81" s="232"/>
      <c r="N81" s="230"/>
      <c r="O81" s="368">
        <f>+ROUND(+F81+I81+L81,0)</f>
        <v>-11360031</v>
      </c>
      <c r="P81" s="381">
        <f>+ROUND(+G81+J81+M81,0)</f>
        <v>-3781179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258</v>
      </c>
      <c r="C83" s="145"/>
      <c r="D83" s="146"/>
      <c r="E83" s="15"/>
      <c r="F83" s="274">
        <f>+ROUND(F81+F82,0)</f>
        <v>-11360031</v>
      </c>
      <c r="G83" s="273">
        <f>+ROUND(G81+G82,0)</f>
        <v>-3781179</v>
      </c>
      <c r="H83" s="15"/>
      <c r="I83" s="274">
        <f>+ROUND(I81+I82,0)</f>
        <v>0</v>
      </c>
      <c r="J83" s="273">
        <f>+ROUND(J81+J82,0)</f>
        <v>0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-11360031</v>
      </c>
      <c r="P83" s="390">
        <f>+ROUND(P81+P82,0)</f>
        <v>-3781179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259</v>
      </c>
      <c r="C85" s="141"/>
      <c r="D85" s="142"/>
      <c r="E85" s="15"/>
      <c r="F85" s="295">
        <f>+ROUND(F50,0)-ROUND(F79,0)+ROUND(F83,0)</f>
        <v>9785</v>
      </c>
      <c r="G85" s="294">
        <f>+ROUND(G50,0)-ROUND(G79,0)+ROUND(G83,0)</f>
        <v>-261</v>
      </c>
      <c r="H85" s="15"/>
      <c r="I85" s="295">
        <f>+ROUND(I50,0)-ROUND(I79,0)+ROUND(I83,0)</f>
        <v>0</v>
      </c>
      <c r="J85" s="294">
        <f>+ROUND(J50,0)-ROUND(J79,0)+ROUND(J83,0)</f>
        <v>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9785</v>
      </c>
      <c r="P85" s="392">
        <f>+ROUND(P50,0)-ROUND(P79,0)+ROUND(P83,0)</f>
        <v>-261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-9785</v>
      </c>
      <c r="G86" s="296">
        <f>+ROUND(G103,0)+ROUND(G122,0)+ROUND(G129,0)-ROUND(G134,0)</f>
        <v>261</v>
      </c>
      <c r="H86" s="15"/>
      <c r="I86" s="297">
        <f>+ROUND(I103,0)+ROUND(I122,0)+ROUND(I129,0)-ROUND(I134,0)</f>
        <v>0</v>
      </c>
      <c r="J86" s="296">
        <f>+ROUND(J103,0)+ROUND(J122,0)+ROUND(J129,0)-ROUND(J134,0)</f>
        <v>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-9785</v>
      </c>
      <c r="P86" s="394">
        <f>+ROUND(P103,0)+ROUND(P122,0)+ROUND(P129,0)-ROUND(P134,0)</f>
        <v>261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253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260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277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261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0</v>
      </c>
      <c r="G101" s="238">
        <f>+ROUND(+SUM(G99:G100),0)</f>
        <v>0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0</v>
      </c>
      <c r="P101" s="366">
        <f>+ROUND(+SUM(P99:P100),0)</f>
        <v>0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0</v>
      </c>
      <c r="G103" s="260">
        <f>+ROUND(G91+G97+G101,0)</f>
        <v>0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0</v>
      </c>
      <c r="P103" s="383">
        <f>+ROUND(P91+P97+P101,0)</f>
        <v>0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-1680</v>
      </c>
      <c r="G118" s="262">
        <v>-1372</v>
      </c>
      <c r="H118" s="15"/>
      <c r="I118" s="263"/>
      <c r="J118" s="262"/>
      <c r="K118" s="230"/>
      <c r="L118" s="263">
        <v>-1126</v>
      </c>
      <c r="M118" s="262">
        <v>-17780</v>
      </c>
      <c r="N118" s="230"/>
      <c r="O118" s="369">
        <f>+ROUND(+F118+I118+L118,0)</f>
        <v>-2806</v>
      </c>
      <c r="P118" s="362">
        <f>+ROUND(+G118+J118+M118,0)</f>
        <v>-19152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-1680</v>
      </c>
      <c r="G120" s="264">
        <f>+ROUND(+SUM(G118:G119),0)</f>
        <v>-1372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-1126</v>
      </c>
      <c r="M120" s="264">
        <f>+ROUND(+SUM(M118:M119),0)</f>
        <v>-17780</v>
      </c>
      <c r="N120" s="230"/>
      <c r="O120" s="384">
        <f>+ROUND(+SUM(O118:O119),0)</f>
        <v>-2806</v>
      </c>
      <c r="P120" s="385">
        <f>+ROUND(+SUM(P118:P119),0)</f>
        <v>-19152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-1680</v>
      </c>
      <c r="G122" s="275">
        <f>+ROUND(G108+G112+G116+G120,0)</f>
        <v>-1372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-1126</v>
      </c>
      <c r="M122" s="275">
        <f>+ROUND(M108+M112+M116+M120,0)</f>
        <v>-17780</v>
      </c>
      <c r="N122" s="230"/>
      <c r="O122" s="388">
        <f>+ROUND(O108+O112+O116+O120,0)</f>
        <v>-2806</v>
      </c>
      <c r="P122" s="395">
        <f>+ROUND(P108+P112+P116+P120,0)</f>
        <v>-19152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/>
      <c r="G125" s="236"/>
      <c r="H125" s="15"/>
      <c r="I125" s="237"/>
      <c r="J125" s="236"/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74" t="s">
        <v>285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280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281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0</v>
      </c>
      <c r="G129" s="273">
        <f>+ROUND(+SUM(G124,G125,G126,G128),0)</f>
        <v>0</v>
      </c>
      <c r="H129" s="15"/>
      <c r="I129" s="274">
        <f>+ROUND(+SUM(I124,I125,I126,I128),0)</f>
        <v>0</v>
      </c>
      <c r="J129" s="273">
        <f>+ROUND(+SUM(J124,J125,J126,J128),0)</f>
        <v>0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291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194</v>
      </c>
      <c r="G131" s="232">
        <v>1827</v>
      </c>
      <c r="H131" s="15"/>
      <c r="I131" s="233"/>
      <c r="J131" s="232"/>
      <c r="K131" s="230"/>
      <c r="L131" s="233">
        <v>20773</v>
      </c>
      <c r="M131" s="232">
        <v>38553</v>
      </c>
      <c r="N131" s="230"/>
      <c r="O131" s="368">
        <f aca="true" t="shared" si="8" ref="O131:P133">+ROUND(+F131+I131+L131,0)</f>
        <v>20967</v>
      </c>
      <c r="P131" s="381">
        <f t="shared" si="8"/>
        <v>40380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290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8299</v>
      </c>
      <c r="G133" s="236">
        <v>194</v>
      </c>
      <c r="H133" s="15"/>
      <c r="I133" s="237"/>
      <c r="J133" s="236"/>
      <c r="K133" s="230"/>
      <c r="L133" s="237">
        <v>19647</v>
      </c>
      <c r="M133" s="236">
        <v>20773</v>
      </c>
      <c r="N133" s="230"/>
      <c r="O133" s="364">
        <f t="shared" si="8"/>
        <v>27946</v>
      </c>
      <c r="P133" s="387">
        <f t="shared" si="8"/>
        <v>20967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292</v>
      </c>
      <c r="C134" s="181"/>
      <c r="D134" s="182"/>
      <c r="E134" s="15"/>
      <c r="F134" s="279">
        <f>+ROUND(+F133-F131-F132,0)</f>
        <v>8105</v>
      </c>
      <c r="G134" s="278">
        <f>+ROUND(+G133-G131-G132,0)</f>
        <v>-1633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-1126</v>
      </c>
      <c r="M134" s="278">
        <f>+ROUND(+M133-M131-M132,0)</f>
        <v>-17780</v>
      </c>
      <c r="N134" s="230"/>
      <c r="O134" s="397">
        <f>+ROUND(+O133-O131-O132,0)</f>
        <v>6979</v>
      </c>
      <c r="P134" s="398">
        <f>+ROUND(+P133-P131-P132,0)</f>
        <v>-19413</v>
      </c>
      <c r="Q134" s="31"/>
      <c r="R134" s="791" t="s">
        <v>294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293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288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308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296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305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289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304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309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295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300</v>
      </c>
      <c r="C142" s="537"/>
      <c r="D142" s="538"/>
      <c r="E142" s="15"/>
      <c r="F142" s="539">
        <f>+F134+F140</f>
        <v>8105</v>
      </c>
      <c r="G142" s="540">
        <f>+G134+G140</f>
        <v>-1633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-1126</v>
      </c>
      <c r="M142" s="540">
        <f>+M134+M140</f>
        <v>-17780</v>
      </c>
      <c r="N142" s="230"/>
      <c r="O142" s="397">
        <f>+O134+O140</f>
        <v>6979</v>
      </c>
      <c r="P142" s="398">
        <f>+P134+P140</f>
        <v>-19413</v>
      </c>
      <c r="Q142" s="31"/>
      <c r="R142" s="698" t="s">
        <v>297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15042021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/>
      <c r="G148" s="702"/>
      <c r="H148" s="702"/>
      <c r="I148" s="703"/>
      <c r="J148" s="349"/>
      <c r="K148" s="16"/>
      <c r="L148" s="349" t="s">
        <v>234</v>
      </c>
      <c r="M148" s="701"/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272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273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274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275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313</v>
      </c>
      <c r="G159" s="558" t="s">
        <v>313</v>
      </c>
      <c r="I159" s="560" t="s">
        <v>310</v>
      </c>
      <c r="J159" s="562" t="s">
        <v>310</v>
      </c>
      <c r="K159" s="11"/>
      <c r="L159" s="563" t="s">
        <v>311</v>
      </c>
      <c r="M159" s="564" t="s">
        <v>311</v>
      </c>
      <c r="N159" s="11"/>
      <c r="O159" s="576" t="s">
        <v>312</v>
      </c>
      <c r="P159" s="577" t="s">
        <v>312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318</v>
      </c>
      <c r="C160" s="555"/>
      <c r="D160" s="556"/>
      <c r="F160" s="568">
        <f>+F133+F139</f>
        <v>8299</v>
      </c>
      <c r="G160" s="569">
        <f>+G133+G139</f>
        <v>194</v>
      </c>
      <c r="I160" s="568">
        <f>+I133+I139</f>
        <v>0</v>
      </c>
      <c r="J160" s="569">
        <f>+J133+J139</f>
        <v>0</v>
      </c>
      <c r="K160" s="230"/>
      <c r="L160" s="568">
        <f>+L133+L139</f>
        <v>19647</v>
      </c>
      <c r="M160" s="569">
        <f>+M133+M139</f>
        <v>20773</v>
      </c>
      <c r="N160" s="230"/>
      <c r="O160" s="572">
        <f>+ROUND(+F160+I160+L160,0)</f>
        <v>27946</v>
      </c>
      <c r="P160" s="573">
        <f>+ROUND(+G160+J160+M160,0)</f>
        <v>20967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314</v>
      </c>
      <c r="C161" s="682">
        <f>+'Cash-Flow-2021-Leva'!P5</f>
        <v>2021</v>
      </c>
      <c r="D161" s="683"/>
      <c r="F161" s="565">
        <v>8299</v>
      </c>
      <c r="G161" s="566">
        <v>194</v>
      </c>
      <c r="I161" s="565"/>
      <c r="J161" s="566"/>
      <c r="K161" s="230"/>
      <c r="L161" s="565">
        <v>19647</v>
      </c>
      <c r="M161" s="566">
        <v>20773</v>
      </c>
      <c r="N161" s="230"/>
      <c r="O161" s="574">
        <f>+ROUND(+F161+I161+L161,0)</f>
        <v>27946</v>
      </c>
      <c r="P161" s="575">
        <f>+ROUND(+G161+J161+M161,0)</f>
        <v>20967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31.03.2021 г.</v>
      </c>
      <c r="G162" s="559">
        <f>+G11</f>
        <v>2020</v>
      </c>
      <c r="I162" s="597" t="str">
        <f>+I11</f>
        <v>31.03.2021 г.</v>
      </c>
      <c r="J162" s="561">
        <f>+J11</f>
        <v>2020</v>
      </c>
      <c r="K162" s="11"/>
      <c r="L162" s="598" t="str">
        <f>+L11</f>
        <v>31.03.2021 г.</v>
      </c>
      <c r="M162" s="564">
        <f>+M11</f>
        <v>2020</v>
      </c>
      <c r="N162" s="11"/>
      <c r="O162" s="599" t="str">
        <f>+O11</f>
        <v>31.03.2021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315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319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316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317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showZeros="0" zoomScalePageLayoutView="0" workbookViewId="0" topLeftCell="A1">
      <pane xSplit="5" ySplit="12" topLeftCell="F14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48" sqref="L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КОМИСИЯ ЗА ФИНАНСОВ НАДЗОР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131060676</v>
      </c>
      <c r="J1" s="803"/>
      <c r="K1" s="442"/>
      <c r="L1" s="443" t="s">
        <v>245</v>
      </c>
      <c r="M1" s="444">
        <f>+'Cash-Flow-2021-Leva'!M1</f>
        <v>4700</v>
      </c>
      <c r="N1" s="442"/>
      <c r="O1" s="443" t="s">
        <v>239</v>
      </c>
      <c r="P1" s="454">
        <f>+'Cash-Flow-2021-Leva'!P1</f>
        <v>29404695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ГР.СОФИЯ, УЛ.БУДАПЕЩА 16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 t="str">
        <f>+'Cash-Flow-2021-Leva'!M3:P3</f>
        <v>vasileva_m@fsc.bg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КОМИСИЯ ЗА ФИНАНСОВ НАДЗОР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31.03.2021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31.03.2021 г.</v>
      </c>
      <c r="G11" s="399">
        <f>+'Cash-Flow-2021-Leva'!G11</f>
        <v>2020</v>
      </c>
      <c r="H11" s="5"/>
      <c r="I11" s="592" t="str">
        <f>+O8</f>
        <v>31.03.2021 г.</v>
      </c>
      <c r="J11" s="400">
        <f>+'Cash-Flow-2021-Leva'!J11</f>
        <v>2020</v>
      </c>
      <c r="K11" s="5"/>
      <c r="L11" s="593" t="str">
        <f>+O8</f>
        <v>31.03.2021 г.</v>
      </c>
      <c r="M11" s="401">
        <f>+'Cash-Flow-2021-Leva'!M11</f>
        <v>2020</v>
      </c>
      <c r="N11" s="465"/>
      <c r="O11" s="594" t="str">
        <f>+O8</f>
        <v>31.03.2021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282</v>
      </c>
      <c r="C16" s="155"/>
      <c r="D16" s="156"/>
      <c r="E16" s="280"/>
      <c r="F16" s="271">
        <f>+'Cash-Flow-2021-Leva'!F16/1000</f>
        <v>14820.678</v>
      </c>
      <c r="G16" s="270">
        <f>+'Cash-Flow-2021-Leva'!G16/1000</f>
        <v>17812.019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14820.678</v>
      </c>
      <c r="P16" s="387">
        <f t="shared" si="1"/>
        <v>17812.019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284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722.842</v>
      </c>
      <c r="G18" s="258">
        <f>+'Cash-Flow-2021-Leva'!G18/1000</f>
        <v>3169.308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722.842</v>
      </c>
      <c r="P18" s="381">
        <f t="shared" si="1"/>
        <v>3169.308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0.677</v>
      </c>
      <c r="G20" s="281">
        <f>+'Cash-Flow-2021-Leva'!G20/1000</f>
        <v>0.902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0.677</v>
      </c>
      <c r="P20" s="415">
        <f t="shared" si="1"/>
        <v>0.902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10.854</v>
      </c>
      <c r="G24" s="270">
        <f>+'Cash-Flow-2021-Leva'!G24/1000</f>
        <v>26.554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10.854</v>
      </c>
      <c r="P24" s="387">
        <f t="shared" si="1"/>
        <v>26.554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15555.051</v>
      </c>
      <c r="G25" s="238">
        <f>+SUM(G15,G16,G18,G19,G20,G21,G22,G23,G24)</f>
        <v>21008.783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15555.051</v>
      </c>
      <c r="P25" s="366">
        <f>+SUM(P15,P16,P18,P19,P20,P21,P22,P23,P24)</f>
        <v>21008.783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254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255</v>
      </c>
      <c r="C37" s="148"/>
      <c r="D37" s="149"/>
      <c r="E37" s="280"/>
      <c r="F37" s="239">
        <f>+'Cash-Flow-2021-Leva'!F37/1000</f>
        <v>-45.95</v>
      </c>
      <c r="G37" s="238">
        <f>+'Cash-Flow-2021-Leva'!G37/1000</f>
        <v>-188.136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-45.95</v>
      </c>
      <c r="P37" s="366">
        <f t="shared" si="3"/>
        <v>-188.136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0</v>
      </c>
      <c r="G39" s="285">
        <f>+'Cash-Flow-2021-Leva'!G39/1000</f>
        <v>-0.027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0</v>
      </c>
      <c r="P39" s="417">
        <f t="shared" si="3"/>
        <v>-0.027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0.879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0.879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250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</v>
      </c>
      <c r="P48" s="366">
        <f>+SUM(P44:P47)</f>
        <v>0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15509.100999999999</v>
      </c>
      <c r="G50" s="260">
        <f>+G25+G30+G37+G42+G48</f>
        <v>20821.526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15509.100999999999</v>
      </c>
      <c r="P50" s="383">
        <f>+P25+P30+P37+P42+P48</f>
        <v>20821.526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1126.928</v>
      </c>
      <c r="G53" s="231">
        <f>+'Cash-Flow-2021-Leva'!G53/1000</f>
        <v>4351.816</v>
      </c>
      <c r="H53" s="280"/>
      <c r="I53" s="241">
        <f>+'Cash-Flow-2021-Leva'!I53/1000</f>
        <v>0</v>
      </c>
      <c r="J53" s="231">
        <f>+'Cash-Flow-2021-Leva'!J53/1000</f>
        <v>0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1126.928</v>
      </c>
      <c r="P53" s="362">
        <f t="shared" si="5"/>
        <v>4351.816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25.115</v>
      </c>
      <c r="G54" s="270">
        <f>+'Cash-Flow-2021-Leva'!G54/1000</f>
        <v>13.5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25.115</v>
      </c>
      <c r="P54" s="387">
        <f t="shared" si="5"/>
        <v>13.5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3.687</v>
      </c>
      <c r="G55" s="270">
        <f>+'Cash-Flow-2021-Leva'!G55/1000</f>
        <v>42.079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3.687</v>
      </c>
      <c r="P55" s="387">
        <f t="shared" si="5"/>
        <v>42.079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2611.861</v>
      </c>
      <c r="G56" s="270">
        <f>+'Cash-Flow-2021-Leva'!G56/1000</f>
        <v>10758.756</v>
      </c>
      <c r="H56" s="280"/>
      <c r="I56" s="271">
        <f>+'Cash-Flow-2021-Leva'!I56/1000</f>
        <v>0</v>
      </c>
      <c r="J56" s="270">
        <f>+'Cash-Flow-2021-Leva'!J56/1000</f>
        <v>0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2611.861</v>
      </c>
      <c r="P56" s="387">
        <f t="shared" si="5"/>
        <v>10758.756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358.419</v>
      </c>
      <c r="G57" s="270">
        <f>+'Cash-Flow-2021-Leva'!G57/1000</f>
        <v>1386.072</v>
      </c>
      <c r="H57" s="280"/>
      <c r="I57" s="271">
        <f>+'Cash-Flow-2021-Leva'!I57/1000</f>
        <v>0</v>
      </c>
      <c r="J57" s="270">
        <f>+'Cash-Flow-2021-Leva'!J57/1000</f>
        <v>0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358.419</v>
      </c>
      <c r="P57" s="387">
        <f t="shared" si="5"/>
        <v>1386.072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4126.01</v>
      </c>
      <c r="G58" s="264">
        <f>+SUM(G53:G57)</f>
        <v>16552.222999999998</v>
      </c>
      <c r="H58" s="280"/>
      <c r="I58" s="265">
        <f>+SUM(I53:I57)</f>
        <v>0</v>
      </c>
      <c r="J58" s="264">
        <f>+SUM(J53:J57)</f>
        <v>0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4126.01</v>
      </c>
      <c r="P58" s="385">
        <f>+SUM(P53:P57)</f>
        <v>16552.222999999998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2.786</v>
      </c>
      <c r="G61" s="270">
        <f>+'Cash-Flow-2021-Leva'!G61/1000</f>
        <v>150.916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2.786</v>
      </c>
      <c r="P61" s="387">
        <f t="shared" si="6"/>
        <v>150.916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10.489</v>
      </c>
      <c r="G62" s="270">
        <f>+'Cash-Flow-2021-Leva'!G62/1000</f>
        <v>337.469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10.489</v>
      </c>
      <c r="P62" s="387">
        <f t="shared" si="6"/>
        <v>337.469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251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13.275</v>
      </c>
      <c r="G65" s="264">
        <f>+SUM(G60:G63)</f>
        <v>488.385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13.275</v>
      </c>
      <c r="P65" s="385">
        <f>+SUM(P60:P63)</f>
        <v>488.385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252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0</v>
      </c>
      <c r="G71" s="231">
        <f>+'Cash-Flow-2021-Leva'!G71/1000</f>
        <v>0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0</v>
      </c>
      <c r="P71" s="362">
        <f>+G71+J71+M71</f>
        <v>0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0</v>
      </c>
      <c r="G73" s="264">
        <f>+SUM(G71:G72)</f>
        <v>0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0</v>
      </c>
      <c r="P73" s="385">
        <f>+SUM(P71:P72)</f>
        <v>0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0</v>
      </c>
      <c r="P75" s="362">
        <f>+G75+J75+M75</f>
        <v>0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0</v>
      </c>
      <c r="P77" s="385">
        <f>+SUM(P75:P76)</f>
        <v>0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257</v>
      </c>
      <c r="C79" s="186"/>
      <c r="D79" s="187"/>
      <c r="E79" s="280"/>
      <c r="F79" s="272">
        <f>+F58+F65+F69+F73+F77</f>
        <v>4139.285</v>
      </c>
      <c r="G79" s="275">
        <f>+G58+G65+G69+G73+G77</f>
        <v>17040.607999999997</v>
      </c>
      <c r="H79" s="280"/>
      <c r="I79" s="272">
        <f>+I58+I65+I69+I73+I77</f>
        <v>0</v>
      </c>
      <c r="J79" s="275">
        <f>+J58+J65+J69+J73+J77</f>
        <v>0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4139.285</v>
      </c>
      <c r="P79" s="395">
        <f>+P58+P65+P69+P73+P77</f>
        <v>17040.607999999997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256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-11360.031</v>
      </c>
      <c r="G81" s="258">
        <f>+'Cash-Flow-2021-Leva'!G81/1000</f>
        <v>-3781.179</v>
      </c>
      <c r="H81" s="280"/>
      <c r="I81" s="259">
        <f>+'Cash-Flow-2021-Leva'!I81/1000</f>
        <v>0</v>
      </c>
      <c r="J81" s="258">
        <f>+'Cash-Flow-2021-Leva'!J81/1000</f>
        <v>0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-11360.031</v>
      </c>
      <c r="P81" s="381">
        <f>+G81+J81+M81</f>
        <v>-3781.179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258</v>
      </c>
      <c r="C83" s="145"/>
      <c r="D83" s="146"/>
      <c r="E83" s="280"/>
      <c r="F83" s="274">
        <f>+F81+F82</f>
        <v>-11360.031</v>
      </c>
      <c r="G83" s="273">
        <f>+G81+G82</f>
        <v>-3781.179</v>
      </c>
      <c r="H83" s="280"/>
      <c r="I83" s="274">
        <f>+I81+I82</f>
        <v>0</v>
      </c>
      <c r="J83" s="273">
        <f>+J81+J82</f>
        <v>0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-11360.031</v>
      </c>
      <c r="P83" s="390">
        <f>+P81+P82</f>
        <v>-3781.179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259</v>
      </c>
      <c r="C85" s="141"/>
      <c r="D85" s="142"/>
      <c r="E85" s="280"/>
      <c r="F85" s="295">
        <f>+F50-F79+F83</f>
        <v>9.784999999998035</v>
      </c>
      <c r="G85" s="294">
        <f>+G50-G79+G83</f>
        <v>-0.26099999999496504</v>
      </c>
      <c r="H85" s="280"/>
      <c r="I85" s="295">
        <f>+I50-I79+I83</f>
        <v>0</v>
      </c>
      <c r="J85" s="294">
        <f>+J50-J79+J83</f>
        <v>0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9.784999999998035</v>
      </c>
      <c r="P85" s="392">
        <f>+P50-P79+P83</f>
        <v>-0.26099999999496504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-9.784999999999998</v>
      </c>
      <c r="G86" s="296">
        <f>+G103+G122+G129-G134</f>
        <v>0.2609999999999999</v>
      </c>
      <c r="H86" s="280"/>
      <c r="I86" s="297">
        <f>+I103+I122+I129-I134</f>
        <v>0</v>
      </c>
      <c r="J86" s="296">
        <f>+J103+J122+J129-J134</f>
        <v>0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-9.785</v>
      </c>
      <c r="P86" s="394">
        <f>+P103+P122+P129-P134</f>
        <v>0.2609999999999957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253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260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277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261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0</v>
      </c>
      <c r="G101" s="238">
        <f>+SUM(G99:G100)</f>
        <v>0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0</v>
      </c>
      <c r="P101" s="366">
        <f>+SUM(P99:P100)</f>
        <v>0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0</v>
      </c>
      <c r="G103" s="260">
        <f>+G91+G97+G101</f>
        <v>0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0</v>
      </c>
      <c r="P103" s="383">
        <f>+P91+P97+P101</f>
        <v>0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-1.68</v>
      </c>
      <c r="G118" s="231">
        <f>+'Cash-Flow-2021-Leva'!G118/1000</f>
        <v>-1.372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-1.126</v>
      </c>
      <c r="M118" s="231">
        <f>+'Cash-Flow-2021-Leva'!M118/1000</f>
        <v>-17.78</v>
      </c>
      <c r="N118" s="466"/>
      <c r="O118" s="369">
        <f>+F118+I118+L118</f>
        <v>-2.806</v>
      </c>
      <c r="P118" s="362">
        <f>+G118+J118+M118</f>
        <v>-19.152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-1.68</v>
      </c>
      <c r="G120" s="264">
        <f>+SUM(G118:G119)</f>
        <v>-1.372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-1.126</v>
      </c>
      <c r="M120" s="264">
        <f>+SUM(M118:M119)</f>
        <v>-17.78</v>
      </c>
      <c r="N120" s="466"/>
      <c r="O120" s="384">
        <f>+SUM(O118:O119)</f>
        <v>-2.806</v>
      </c>
      <c r="P120" s="385">
        <f>+SUM(P118:P119)</f>
        <v>-19.152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-1.68</v>
      </c>
      <c r="G122" s="275">
        <f>+G108+G112+G116+G120</f>
        <v>-1.372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-1.126</v>
      </c>
      <c r="M122" s="275">
        <f>+M108+M112+M116+M120</f>
        <v>-17.78</v>
      </c>
      <c r="N122" s="466"/>
      <c r="O122" s="388">
        <f>+O108+O112+O116+O120</f>
        <v>-2.806</v>
      </c>
      <c r="P122" s="395">
        <f>+P108+P112+P116+P120</f>
        <v>-19.152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0</v>
      </c>
      <c r="G125" s="270">
        <f>+'Cash-Flow-2021-Leva'!G125/1000</f>
        <v>0</v>
      </c>
      <c r="H125" s="280"/>
      <c r="I125" s="271">
        <f>+'Cash-Flow-2021-Leva'!I125/1000</f>
        <v>0</v>
      </c>
      <c r="J125" s="270">
        <f>+'Cash-Flow-2021-Leva'!J125/1000</f>
        <v>0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280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0</v>
      </c>
      <c r="G129" s="273">
        <f>+SUM(G124,G125,G126,G128)</f>
        <v>0</v>
      </c>
      <c r="H129" s="280"/>
      <c r="I129" s="274">
        <f>+SUM(I124,I125,I126,I128)</f>
        <v>0</v>
      </c>
      <c r="J129" s="273">
        <f>+SUM(J124,J125,J126,J128)</f>
        <v>0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0.194</v>
      </c>
      <c r="G131" s="258">
        <f>+'Cash-Flow-2021-Leva'!G131/1000</f>
        <v>1.827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20.773</v>
      </c>
      <c r="M131" s="258">
        <f>+'Cash-Flow-2021-Leva'!M131/1000</f>
        <v>38.553</v>
      </c>
      <c r="N131" s="466"/>
      <c r="O131" s="368">
        <f aca="true" t="shared" si="9" ref="O131:P133">+F131+I131+L131</f>
        <v>20.967</v>
      </c>
      <c r="P131" s="381">
        <f t="shared" si="9"/>
        <v>40.379999999999995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290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8.299</v>
      </c>
      <c r="G133" s="270">
        <f>+'Cash-Flow-2021-Leva'!G133/1000</f>
        <v>0.194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19.647</v>
      </c>
      <c r="M133" s="270">
        <f>+'Cash-Flow-2021-Leva'!M133/1000</f>
        <v>20.773</v>
      </c>
      <c r="N133" s="466"/>
      <c r="O133" s="364">
        <f t="shared" si="9"/>
        <v>27.945999999999998</v>
      </c>
      <c r="P133" s="387">
        <f t="shared" si="9"/>
        <v>20.967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8.104999999999999</v>
      </c>
      <c r="G134" s="278">
        <f>+G133-G131-G132</f>
        <v>-1.633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-1.1260000000000012</v>
      </c>
      <c r="M134" s="278">
        <f>+M133-M131-M132</f>
        <v>-17.779999999999998</v>
      </c>
      <c r="N134" s="466"/>
      <c r="O134" s="397">
        <f>+O133-O131-O132</f>
        <v>6.978999999999999</v>
      </c>
      <c r="P134" s="398">
        <f>+P133-P131-P132</f>
        <v>-19.412999999999997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293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288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296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289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309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300</v>
      </c>
      <c r="C142" s="537"/>
      <c r="D142" s="538"/>
      <c r="E142" s="280"/>
      <c r="F142" s="279">
        <f>+F134+F140</f>
        <v>8.104999999999999</v>
      </c>
      <c r="G142" s="278">
        <f>+G134+G140</f>
        <v>-1.633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-1.1260000000000012</v>
      </c>
      <c r="M142" s="540">
        <f>+M134+M140</f>
        <v>-17.779999999999998</v>
      </c>
      <c r="N142" s="466"/>
      <c r="O142" s="552">
        <f>+O134+O140</f>
        <v>6.978999999999999</v>
      </c>
      <c r="P142" s="553">
        <f>+P134+P140</f>
        <v>-19.412999999999997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15042021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272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273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270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271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307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306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2021-04-16T13:59:11Z</cp:lastPrinted>
  <dcterms:created xsi:type="dcterms:W3CDTF">2015-12-01T07:17:04Z</dcterms:created>
  <dcterms:modified xsi:type="dcterms:W3CDTF">2021-04-26T10:36:45Z</dcterms:modified>
  <cp:category/>
  <cp:version/>
  <cp:contentType/>
  <cp:contentStatus/>
</cp:coreProperties>
</file>