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<sst xmlns="http://schemas.openxmlformats.org/spreadsheetml/2006/main" count="672" uniqueCount="457">
  <si>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</si>
  <si>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</si>
  <si>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</si>
  <si>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</si>
  <si>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</si>
  <si>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</si>
  <si>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</si>
  <si>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</si>
  <si>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</si>
  <si>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</si>
  <si>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</si>
  <si>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</si>
  <si>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</si>
  <si>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</si>
  <si>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</si>
  <si>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</si>
  <si>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</si>
  <si>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</si>
  <si>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</si>
  <si>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</si>
  <si>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</si>
  <si>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</si>
  <si>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</si>
  <si>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</si>
  <si>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</si>
  <si>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</si>
  <si>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</si>
  <si>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</si>
  <si>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</si>
  <si>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</si>
  <si>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</si>
  <si>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</si>
  <si>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</si>
  <si>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</si>
  <si>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</si>
  <si>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</si>
  <si>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</si>
  <si>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</si>
  <si>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</si>
  <si>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</si>
  <si>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</si>
  <si>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</si>
  <si>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</si>
  <si>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</si>
  <si>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</si>
  <si>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</si>
  <si>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</si>
  <si>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</si>
  <si>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</si>
  <si>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</si>
  <si>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</si>
  <si>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</si>
  <si>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</si>
  <si>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</si>
  <si>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</si>
  <si>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</si>
  <si>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</si>
  <si>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</si>
  <si>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</si>
  <si>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</si>
  <si>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</si>
  <si>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</si>
  <si>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</si>
  <si>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</si>
  <si>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</si>
  <si>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</si>
  <si>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</si>
  <si>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</si>
  <si>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</si>
  <si>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</si>
  <si>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</si>
  <si>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</si>
  <si>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</si>
  <si>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</si>
  <si>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</si>
  <si>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</si>
  <si>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</si>
  <si>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</si>
  <si>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</si>
  <si>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</si>
  <si>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</si>
  <si>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</si>
  <si>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</si>
  <si>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</si>
  <si>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</si>
  <si>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</si>
  <si>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</si>
  <si>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</si>
  <si>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</si>
  <si>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</si>
  <si>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</si>
  <si>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</si>
  <si>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</si>
  <si>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</si>
  <si>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</si>
  <si>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</si>
  <si>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</si>
  <si>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</si>
  <si>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</si>
  <si>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</si>
  <si>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</si>
  <si>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</si>
  <si>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</si>
  <si>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</si>
  <si>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</si>
  <si>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</si>
  <si>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</si>
  <si>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</si>
  <si>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</si>
  <si>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</si>
  <si>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</si>
  <si>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</si>
  <si>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</si>
  <si>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</si>
  <si>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</si>
  <si>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</si>
  <si>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</si>
  <si>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</si>
  <si>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</si>
  <si>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</si>
  <si>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</si>
  <si>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</si>
  <si>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</si>
  <si>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</si>
  <si>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</si>
  <si>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</si>
  <si>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</si>
  <si>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</si>
  <si>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</si>
  <si>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</si>
  <si>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</si>
  <si>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</si>
  <si>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</si>
  <si>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</si>
  <si>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</si>
  <si>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</si>
  <si>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</si>
  <si>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</si>
  <si>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</si>
  <si>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</si>
  <si>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</si>
  <si>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</si>
  <si>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</si>
  <si>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</si>
  <si>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</si>
  <si>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</si>
  <si>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</si>
  <si>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</si>
  <si>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</si>
  <si>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</si>
  <si>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</si>
  <si>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</si>
  <si>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</si>
  <si>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</si>
  <si>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</si>
  <si>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</si>
  <si>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</si>
  <si>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</si>
  <si>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</si>
  <si>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</si>
  <si>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</si>
  <si>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</si>
  <si>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</si>
  <si>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</si>
  <si>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</si>
  <si>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</si>
  <si>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</si>
  <si>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</si>
  <si>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</si>
  <si>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</si>
  <si>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</si>
  <si>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</si>
  <si>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</si>
  <si>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</si>
  <si>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</si>
  <si>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</si>
  <si>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</si>
  <si>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</si>
  <si>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</si>
  <si>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</si>
  <si>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</si>
  <si>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</si>
  <si>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</si>
  <si>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</si>
  <si>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</si>
  <si>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</si>
  <si>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</si>
  <si>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</si>
  <si>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</si>
  <si>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</si>
  <si>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</si>
  <si>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</si>
  <si>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</si>
  <si>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</si>
  <si>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</si>
  <si>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</si>
  <si>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</si>
  <si>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</si>
  <si>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</si>
  <si>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</si>
  <si>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</si>
  <si>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</si>
  <si>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</si>
  <si>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</si>
  <si>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</si>
  <si>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</si>
  <si>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</si>
  <si>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</si>
  <si>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</si>
  <si>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</si>
  <si>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</si>
  <si>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</si>
  <si>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</si>
  <si>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</si>
  <si>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</si>
  <si>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</si>
  <si>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</si>
  <si>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</si>
  <si>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</si>
  <si>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</si>
  <si>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</si>
  <si>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</si>
  <si>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</si>
  <si>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</si>
  <si>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</si>
  <si>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</si>
  <si>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</si>
  <si>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</si>
  <si>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</si>
  <si>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</si>
  <si>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</si>
  <si>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</si>
  <si>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</si>
  <si>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</si>
  <si>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</si>
  <si>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</si>
  <si>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</si>
  <si>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</si>
  <si>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</si>
  <si>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</si>
  <si>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</si>
  <si>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</si>
  <si>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</si>
  <si>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</si>
  <si>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</si>
  <si>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</si>
  <si>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</si>
  <si>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</si>
  <si>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</si>
  <si>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</si>
  <si>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</si>
  <si>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</si>
  <si>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</si>
  <si>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</si>
  <si>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</si>
  <si>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</si>
  <si>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</si>
  <si>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</si>
  <si>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</si>
  <si>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</si>
  <si>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</si>
  <si>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</si>
  <si>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</si>
  <si>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</si>
  <si>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</si>
  <si>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</si>
  <si>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</si>
  <si>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</si>
  <si>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</si>
  <si>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</si>
  <si>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</si>
  <si>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</si>
  <si>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</si>
  <si>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</si>
  <si>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</si>
  <si>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</si>
  <si>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</si>
  <si>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</si>
  <si>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</si>
  <si>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</si>
  <si>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</si>
  <si>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</si>
  <si>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</si>
  <si>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</si>
  <si>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</si>
  <si>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</si>
  <si>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</si>
  <si>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</si>
  <si>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</si>
  <si>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</si>
  <si>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</si>
  <si>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</si>
  <si>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</si>
  <si>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</si>
  <si>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</si>
  <si>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</si>
  <si>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</si>
  <si>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</si>
  <si>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</si>
  <si>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</si>
  <si>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</si>
  <si>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</si>
  <si>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</si>
  <si>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</si>
  <si>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</si>
  <si>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</si>
  <si>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</si>
  <si>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</si>
  <si>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</si>
  <si>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</si>
  <si>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</si>
  <si>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</si>
  <si>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</si>
  <si>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</si>
  <si>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</si>
  <si>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</si>
  <si>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</si>
  <si>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</si>
  <si>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</si>
  <si>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</si>
  <si>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</si>
  <si>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</si>
  <si>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</si>
  <si>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</si>
  <si>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</si>
  <si>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</si>
  <si>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</si>
  <si>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</si>
  <si>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</si>
  <si>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</si>
  <si>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</si>
  <si>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</si>
  <si>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</si>
  <si>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</si>
  <si>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</si>
  <si>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</si>
  <si>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</si>
  <si>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</si>
  <si>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</si>
  <si>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</si>
  <si>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</si>
  <si>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</si>
  <si>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</si>
  <si>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</si>
  <si>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</si>
  <si>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</si>
  <si>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</si>
  <si>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</si>
  <si>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</si>
  <si>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</si>
  <si>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</si>
  <si>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</si>
  <si>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</si>
  <si>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</si>
  <si>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</si>
  <si>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</si>
  <si>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</si>
  <si>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</si>
  <si>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</si>
  <si>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</si>
  <si>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</si>
  <si>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</si>
  <si>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</si>
  <si>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</si>
  <si>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</si>
  <si>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</si>
  <si>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</si>
  <si>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</si>
  <si>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</si>
  <si>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</si>
  <si>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</si>
  <si>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</si>
  <si>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</si>
  <si>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</si>
  <si>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</si>
  <si>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</si>
  <si>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</si>
  <si>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</si>
  <si>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</si>
  <si>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</si>
  <si>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</si>
  <si>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</si>
  <si>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</si>
  <si>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</si>
  <si>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</si>
  <si>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</si>
  <si>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</si>
  <si>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</si>
  <si>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</si>
  <si>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</si>
  <si>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</si>
  <si>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</si>
  <si>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</si>
  <si>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</si>
  <si>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</si>
  <si>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</si>
  <si>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</si>
  <si>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</si>
  <si>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</si>
  <si>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</si>
  <si>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</si>
  <si>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</si>
  <si>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</si>
  <si>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</si>
  <si>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</si>
  <si>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</si>
  <si>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</si>
  <si>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</si>
  <si>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</si>
  <si>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</si>
  <si>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</si>
  <si>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</si>
  <si>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</si>
  <si>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</si>
  <si>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</si>
  <si>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</si>
  <si>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</si>
  <si>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</si>
  <si>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</si>
  <si>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</si>
  <si>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</si>
  <si>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</si>
  <si>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</si>
  <si>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</si>
  <si>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</si>
  <si>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</si>
  <si>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</si>
  <si>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</si>
  <si>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</si>
  <si>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</si>
  <si>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</si>
  <si>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</si>
  <si>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</si>
  <si>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</si>
  <si>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</si>
  <si>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</si>
  <si>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</si>
  <si>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</si>
  <si>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</si>
  <si>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</si>
  <si>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</si>
  <si>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</si>
  <si>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</si>
  <si>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</si>
  <si>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</si>
  <si>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</si>
  <si>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</si>
  <si>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</si>
  <si>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</si>
  <si>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</si>
  <si>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</si>
  <si>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</si>
  <si>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</si>
  <si>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</si>
  <si>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</si>
  <si>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vasileva_m@fsc.bg</t>
  </si>
  <si>
    <t>КОМИСИЯ ЗА ФИНАНСОВ НАДЗОР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</si>
</sst>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1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131" fillId="26" borderId="0" applyNumberFormat="0" applyBorder="0" applyAlignment="0" applyProtection="0"/>
    <xf numFmtId="0" fontId="132" fillId="27" borderId="1" applyNumberFormat="0" applyAlignment="0" applyProtection="0"/>
    <xf numFmtId="0" fontId="1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29" borderId="0" applyNumberFormat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30" borderId="1" applyNumberFormat="0" applyAlignment="0" applyProtection="0"/>
    <xf numFmtId="0" fontId="142" fillId="0" borderId="6" applyNumberFormat="0" applyFill="0" applyAlignment="0" applyProtection="0"/>
    <xf numFmtId="0" fontId="1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4" fillId="27" borderId="8" applyNumberFormat="0" applyAlignment="0" applyProtection="0"/>
    <xf numFmtId="9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8" fillId="32" borderId="0" xfId="62" applyFont="1" applyFill="1" applyAlignment="1" applyProtection="1">
      <alignment horizontal="right"/>
      <protection/>
    </xf>
    <xf numFmtId="0" fontId="149" fillId="32" borderId="0" xfId="62" applyFont="1" applyFill="1" applyBorder="1" applyAlignment="1" applyProtection="1">
      <alignment horizontal="center"/>
      <protection/>
    </xf>
    <xf numFmtId="168" fontId="150" fillId="32" borderId="0" xfId="65" applyNumberFormat="1" applyFont="1" applyFill="1" applyAlignment="1" applyProtection="1">
      <alignment/>
      <protection/>
    </xf>
    <xf numFmtId="0" fontId="148" fillId="32" borderId="0" xfId="57" applyFont="1" applyFill="1" applyAlignment="1" applyProtection="1" quotePrefix="1">
      <alignment/>
      <protection/>
    </xf>
    <xf numFmtId="0" fontId="150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0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0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1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2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3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4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29" fillId="32" borderId="26" xfId="0" applyNumberFormat="1" applyFont="1" applyFill="1" applyBorder="1" applyAlignment="1" applyProtection="1">
      <alignment horizontal="center"/>
      <protection/>
    </xf>
    <xf numFmtId="168" fontId="12" fillId="32" borderId="26" xfId="0" applyNumberFormat="1" applyFont="1" applyFill="1" applyBorder="1" applyAlignment="1" applyProtection="1">
      <alignment horizontal="center"/>
      <protection/>
    </xf>
    <xf numFmtId="168" fontId="29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55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1" fillId="42" borderId="52" xfId="65" applyNumberFormat="1" applyFont="1" applyFill="1" applyBorder="1" applyAlignment="1" applyProtection="1">
      <alignment/>
      <protection/>
    </xf>
    <xf numFmtId="38" fontId="21" fillId="42" borderId="53" xfId="65" applyNumberFormat="1" applyFont="1" applyFill="1" applyBorder="1" applyAlignment="1" applyProtection="1">
      <alignment/>
      <protection/>
    </xf>
    <xf numFmtId="38" fontId="21" fillId="42" borderId="46" xfId="65" applyNumberFormat="1" applyFont="1" applyFill="1" applyBorder="1" applyAlignment="1" applyProtection="1">
      <alignment/>
      <protection/>
    </xf>
    <xf numFmtId="38" fontId="21" fillId="42" borderId="47" xfId="65" applyNumberFormat="1" applyFont="1" applyFill="1" applyBorder="1" applyAlignment="1" applyProtection="1">
      <alignment/>
      <protection/>
    </xf>
    <xf numFmtId="38" fontId="21" fillId="42" borderId="48" xfId="65" applyNumberFormat="1" applyFont="1" applyFill="1" applyBorder="1" applyAlignment="1" applyProtection="1">
      <alignment/>
      <protection/>
    </xf>
    <xf numFmtId="38" fontId="21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1" fillId="42" borderId="42" xfId="65" applyNumberFormat="1" applyFont="1" applyFill="1" applyBorder="1" applyAlignment="1" applyProtection="1">
      <alignment/>
      <protection/>
    </xf>
    <xf numFmtId="38" fontId="21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7" fontId="156" fillId="33" borderId="26" xfId="0" applyNumberFormat="1" applyFont="1" applyFill="1" applyBorder="1" applyAlignment="1" applyProtection="1">
      <alignment horizontal="center"/>
      <protection locked="0"/>
    </xf>
    <xf numFmtId="177" fontId="156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1" fillId="42" borderId="50" xfId="65" applyNumberFormat="1" applyFont="1" applyFill="1" applyBorder="1" applyAlignment="1" applyProtection="1">
      <alignment/>
      <protection/>
    </xf>
    <xf numFmtId="38" fontId="21" fillId="42" borderId="58" xfId="65" applyNumberFormat="1" applyFont="1" applyFill="1" applyBorder="1" applyAlignment="1" applyProtection="1">
      <alignment/>
      <protection/>
    </xf>
    <xf numFmtId="38" fontId="21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1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7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29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29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29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29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29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29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29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29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58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1" fillId="42" borderId="41" xfId="65" applyNumberFormat="1" applyFont="1" applyFill="1" applyBorder="1" applyAlignment="1" applyProtection="1">
      <alignment horizontal="center"/>
      <protection/>
    </xf>
    <xf numFmtId="38" fontId="21" fillId="42" borderId="42" xfId="65" applyNumberFormat="1" applyFont="1" applyFill="1" applyBorder="1" applyAlignment="1" applyProtection="1">
      <alignment horizontal="center"/>
      <protection/>
    </xf>
    <xf numFmtId="38" fontId="21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8" fontId="5" fillId="39" borderId="65" xfId="60" applyNumberFormat="1" applyFont="1" applyFill="1" applyBorder="1" applyAlignment="1" applyProtection="1">
      <alignment horizontal="left"/>
      <protection/>
    </xf>
    <xf numFmtId="168" fontId="5" fillId="39" borderId="37" xfId="60" applyNumberFormat="1" applyFont="1" applyFill="1" applyBorder="1" applyAlignment="1" applyProtection="1">
      <alignment horizontal="left"/>
      <protection/>
    </xf>
    <xf numFmtId="168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59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1" fillId="32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0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2" borderId="81" xfId="0" applyNumberFormat="1" applyFont="1" applyFill="1" applyBorder="1" applyAlignment="1" applyProtection="1">
      <alignment/>
      <protection/>
    </xf>
    <xf numFmtId="178" fontId="3" fillId="32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3" fillId="39" borderId="101" xfId="0" applyNumberFormat="1" applyFont="1" applyFill="1" applyBorder="1" applyAlignment="1" applyProtection="1" quotePrefix="1">
      <alignment horizontal="center"/>
      <protection/>
    </xf>
    <xf numFmtId="185" fontId="159" fillId="40" borderId="101" xfId="0" applyNumberFormat="1" applyFont="1" applyFill="1" applyBorder="1" applyAlignment="1" applyProtection="1" quotePrefix="1">
      <alignment horizontal="center"/>
      <protection/>
    </xf>
    <xf numFmtId="185" fontId="160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8" fillId="38" borderId="103" xfId="0" applyNumberFormat="1" applyFont="1" applyFill="1" applyBorder="1" applyAlignment="1" applyProtection="1">
      <alignment horizontal="center"/>
      <protection/>
    </xf>
    <xf numFmtId="176" fontId="8" fillId="38" borderId="104" xfId="0" applyNumberFormat="1" applyFont="1" applyFill="1" applyBorder="1" applyAlignment="1" applyProtection="1">
      <alignment horizontal="center"/>
      <protection/>
    </xf>
    <xf numFmtId="176" fontId="161" fillId="38" borderId="103" xfId="0" applyNumberFormat="1" applyFont="1" applyFill="1" applyBorder="1" applyAlignment="1" applyProtection="1">
      <alignment horizontal="center"/>
      <protection/>
    </xf>
    <xf numFmtId="176" fontId="161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0" fillId="33" borderId="55" xfId="0" applyNumberFormat="1" applyFont="1" applyFill="1" applyBorder="1" applyAlignment="1" applyProtection="1">
      <alignment/>
      <protection/>
    </xf>
    <xf numFmtId="0" fontId="50" fillId="33" borderId="55" xfId="0" applyFont="1" applyFill="1" applyBorder="1" applyAlignment="1" applyProtection="1">
      <alignment/>
      <protection/>
    </xf>
    <xf numFmtId="168" fontId="162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29" fillId="42" borderId="107" xfId="0" applyNumberFormat="1" applyFont="1" applyFill="1" applyBorder="1" applyAlignment="1" applyProtection="1">
      <alignment/>
      <protection/>
    </xf>
    <xf numFmtId="178" fontId="29" fillId="42" borderId="91" xfId="0" applyNumberFormat="1" applyFont="1" applyFill="1" applyBorder="1" applyAlignment="1" applyProtection="1">
      <alignment/>
      <protection/>
    </xf>
    <xf numFmtId="178" fontId="29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29" fillId="42" borderId="110" xfId="0" applyNumberFormat="1" applyFont="1" applyFill="1" applyBorder="1" applyAlignment="1" applyProtection="1">
      <alignment/>
      <protection/>
    </xf>
    <xf numFmtId="178" fontId="12" fillId="42" borderId="109" xfId="60" applyNumberFormat="1" applyFont="1" applyFill="1" applyBorder="1" applyAlignment="1" applyProtection="1">
      <alignment/>
      <protection/>
    </xf>
    <xf numFmtId="0" fontId="163" fillId="47" borderId="0" xfId="61" applyFont="1" applyFill="1" applyBorder="1" applyAlignment="1" applyProtection="1">
      <alignment horizontal="center"/>
      <protection/>
    </xf>
    <xf numFmtId="168" fontId="162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0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4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4" fillId="35" borderId="0" xfId="64" applyFont="1" applyFill="1" applyBorder="1" applyAlignment="1" applyProtection="1">
      <alignment/>
      <protection/>
    </xf>
    <xf numFmtId="0" fontId="163" fillId="33" borderId="0" xfId="61" applyFont="1" applyFill="1" applyBorder="1" applyAlignment="1" applyProtection="1">
      <alignment horizontal="center"/>
      <protection/>
    </xf>
    <xf numFmtId="166" fontId="54" fillId="49" borderId="26" xfId="64" applyNumberFormat="1" applyFont="1" applyFill="1" applyBorder="1" applyAlignment="1" applyProtection="1">
      <alignment horizontal="center" vertical="center"/>
      <protection locked="0"/>
    </xf>
    <xf numFmtId="168" fontId="148" fillId="32" borderId="0" xfId="65" applyNumberFormat="1" applyFont="1" applyFill="1" applyAlignment="1" applyProtection="1">
      <alignment/>
      <protection/>
    </xf>
    <xf numFmtId="0" fontId="150" fillId="35" borderId="0" xfId="64" applyFont="1" applyFill="1" applyBorder="1" applyProtection="1">
      <alignment/>
      <protection/>
    </xf>
    <xf numFmtId="0" fontId="165" fillId="35" borderId="0" xfId="64" applyFont="1" applyFill="1" applyBorder="1" applyProtection="1">
      <alignment/>
      <protection/>
    </xf>
    <xf numFmtId="0" fontId="165" fillId="35" borderId="0" xfId="64" applyFont="1" applyFill="1" applyProtection="1">
      <alignment/>
      <protection/>
    </xf>
    <xf numFmtId="174" fontId="166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6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67" fillId="33" borderId="26" xfId="64" applyNumberFormat="1" applyFont="1" applyFill="1" applyBorder="1" applyAlignment="1" applyProtection="1">
      <alignment horizontal="center" vertical="center"/>
      <protection/>
    </xf>
    <xf numFmtId="166" fontId="168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32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69" fillId="33" borderId="70" xfId="0" applyNumberFormat="1" applyFont="1" applyFill="1" applyBorder="1" applyAlignment="1" applyProtection="1" quotePrefix="1">
      <alignment/>
      <protection/>
    </xf>
    <xf numFmtId="168" fontId="170" fillId="33" borderId="70" xfId="0" applyNumberFormat="1" applyFont="1" applyFill="1" applyBorder="1" applyAlignment="1" applyProtection="1" quotePrefix="1">
      <alignment/>
      <protection/>
    </xf>
    <xf numFmtId="168" fontId="169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69" fillId="33" borderId="115" xfId="0" applyNumberFormat="1" applyFont="1" applyFill="1" applyBorder="1" applyAlignment="1" applyProtection="1" quotePrefix="1">
      <alignment/>
      <protection/>
    </xf>
    <xf numFmtId="168" fontId="169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69" fillId="32" borderId="115" xfId="0" applyNumberFormat="1" applyFont="1" applyFill="1" applyBorder="1" applyAlignment="1" applyProtection="1" quotePrefix="1">
      <alignment/>
      <protection/>
    </xf>
    <xf numFmtId="168" fontId="170" fillId="32" borderId="31" xfId="0" applyNumberFormat="1" applyFont="1" applyFill="1" applyBorder="1" applyAlignment="1" applyProtection="1" quotePrefix="1">
      <alignment/>
      <protection/>
    </xf>
    <xf numFmtId="168" fontId="169" fillId="33" borderId="85" xfId="0" applyNumberFormat="1" applyFont="1" applyFill="1" applyBorder="1" applyAlignment="1" applyProtection="1" quotePrefix="1">
      <alignment/>
      <protection/>
    </xf>
    <xf numFmtId="168" fontId="170" fillId="33" borderId="86" xfId="0" applyNumberFormat="1" applyFont="1" applyFill="1" applyBorder="1" applyAlignment="1" applyProtection="1" quotePrefix="1">
      <alignment/>
      <protection/>
    </xf>
    <xf numFmtId="168" fontId="170" fillId="33" borderId="31" xfId="0" applyNumberFormat="1" applyFont="1" applyFill="1" applyBorder="1" applyAlignment="1" applyProtection="1" quotePrefix="1">
      <alignment/>
      <protection/>
    </xf>
    <xf numFmtId="0" fontId="30" fillId="33" borderId="116" xfId="64" applyFont="1" applyFill="1" applyBorder="1" applyProtection="1">
      <alignment/>
      <protection/>
    </xf>
    <xf numFmtId="0" fontId="30" fillId="33" borderId="42" xfId="64" applyFont="1" applyFill="1" applyBorder="1" applyProtection="1">
      <alignment/>
      <protection/>
    </xf>
    <xf numFmtId="0" fontId="30" fillId="33" borderId="28" xfId="64" applyFont="1" applyFill="1" applyBorder="1" applyProtection="1">
      <alignment/>
      <protection/>
    </xf>
    <xf numFmtId="176" fontId="34" fillId="50" borderId="117" xfId="0" applyNumberFormat="1" applyFont="1" applyFill="1" applyBorder="1" applyAlignment="1" applyProtection="1">
      <alignment horizontal="center"/>
      <protection/>
    </xf>
    <xf numFmtId="176" fontId="35" fillId="41" borderId="117" xfId="0" applyNumberFormat="1" applyFont="1" applyFill="1" applyBorder="1" applyAlignment="1" applyProtection="1">
      <alignment horizontal="center"/>
      <protection/>
    </xf>
    <xf numFmtId="176" fontId="171" fillId="50" borderId="117" xfId="0" applyNumberFormat="1" applyFont="1" applyFill="1" applyBorder="1" applyAlignment="1" applyProtection="1">
      <alignment horizontal="center"/>
      <protection/>
    </xf>
    <xf numFmtId="176" fontId="172" fillId="41" borderId="117" xfId="0" applyNumberFormat="1" applyFont="1" applyFill="1" applyBorder="1" applyAlignment="1" applyProtection="1">
      <alignment horizontal="center"/>
      <protection/>
    </xf>
    <xf numFmtId="176" fontId="34" fillId="51" borderId="117" xfId="0" applyNumberFormat="1" applyFont="1" applyFill="1" applyBorder="1" applyAlignment="1" applyProtection="1">
      <alignment horizontal="center"/>
      <protection/>
    </xf>
    <xf numFmtId="176" fontId="35" fillId="51" borderId="117" xfId="0" applyNumberFormat="1" applyFont="1" applyFill="1" applyBorder="1" applyAlignment="1" applyProtection="1">
      <alignment horizontal="center"/>
      <protection/>
    </xf>
    <xf numFmtId="176" fontId="173" fillId="51" borderId="117" xfId="0" applyNumberFormat="1" applyFont="1" applyFill="1" applyBorder="1" applyAlignment="1" applyProtection="1">
      <alignment horizontal="center"/>
      <protection/>
    </xf>
    <xf numFmtId="176" fontId="172" fillId="51" borderId="117" xfId="0" applyNumberFormat="1" applyFont="1" applyFill="1" applyBorder="1" applyAlignment="1" applyProtection="1">
      <alignment horizontal="center"/>
      <protection/>
    </xf>
    <xf numFmtId="176" fontId="34" fillId="52" borderId="117" xfId="0" applyNumberFormat="1" applyFont="1" applyFill="1" applyBorder="1" applyAlignment="1" applyProtection="1">
      <alignment horizontal="center"/>
      <protection/>
    </xf>
    <xf numFmtId="176" fontId="35" fillId="52" borderId="117" xfId="0" applyNumberFormat="1" applyFont="1" applyFill="1" applyBorder="1" applyAlignment="1" applyProtection="1">
      <alignment horizontal="center"/>
      <protection/>
    </xf>
    <xf numFmtId="176" fontId="174" fillId="52" borderId="117" xfId="0" applyNumberFormat="1" applyFont="1" applyFill="1" applyBorder="1" applyAlignment="1" applyProtection="1">
      <alignment horizontal="center"/>
      <protection/>
    </xf>
    <xf numFmtId="176" fontId="175" fillId="52" borderId="117" xfId="0" applyNumberFormat="1" applyFont="1" applyFill="1" applyBorder="1" applyAlignment="1" applyProtection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176" fontId="8" fillId="38" borderId="119" xfId="0" applyNumberFormat="1" applyFont="1" applyFill="1" applyBorder="1" applyAlignment="1" applyProtection="1">
      <alignment horizontal="center"/>
      <protection/>
    </xf>
    <xf numFmtId="176" fontId="161" fillId="38" borderId="118" xfId="0" applyNumberFormat="1" applyFont="1" applyFill="1" applyBorder="1" applyAlignment="1" applyProtection="1">
      <alignment horizontal="center"/>
      <protection/>
    </xf>
    <xf numFmtId="176" fontId="161" fillId="38" borderId="119" xfId="0" applyNumberFormat="1" applyFont="1" applyFill="1" applyBorder="1" applyAlignment="1" applyProtection="1">
      <alignment horizontal="center"/>
      <protection/>
    </xf>
    <xf numFmtId="168" fontId="12" fillId="32" borderId="118" xfId="0" applyNumberFormat="1" applyFont="1" applyFill="1" applyBorder="1" applyAlignment="1" applyProtection="1">
      <alignment horizontal="center"/>
      <protection/>
    </xf>
    <xf numFmtId="168" fontId="29" fillId="32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29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6" fillId="42" borderId="41" xfId="65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29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29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29" fillId="42" borderId="10" xfId="0" applyNumberFormat="1" applyFont="1" applyFill="1" applyBorder="1" applyAlignment="1" applyProtection="1">
      <alignment/>
      <protection locked="0"/>
    </xf>
    <xf numFmtId="168" fontId="162" fillId="32" borderId="0" xfId="0" applyNumberFormat="1" applyFont="1" applyFill="1" applyBorder="1" applyAlignment="1" applyProtection="1" quotePrefix="1">
      <alignment horizontal="center"/>
      <protection/>
    </xf>
    <xf numFmtId="168" fontId="162" fillId="33" borderId="0" xfId="0" applyNumberFormat="1" applyFont="1" applyFill="1" applyBorder="1" applyAlignment="1" applyProtection="1" quotePrefix="1">
      <alignment horizontal="center"/>
      <protection/>
    </xf>
    <xf numFmtId="0" fontId="163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5" xfId="0" applyNumberFormat="1" applyFont="1" applyFill="1" applyBorder="1" applyAlignment="1" applyProtection="1">
      <alignment/>
      <protection/>
    </xf>
    <xf numFmtId="178" fontId="3" fillId="32" borderId="55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8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0" fillId="38" borderId="0" xfId="57" applyFont="1" applyFill="1" applyBorder="1" quotePrefix="1">
      <alignment/>
      <protection/>
    </xf>
    <xf numFmtId="189" fontId="21" fillId="33" borderId="0" xfId="58" applyNumberFormat="1" applyFont="1" applyFill="1" applyBorder="1" applyAlignment="1">
      <alignment/>
      <protection/>
    </xf>
    <xf numFmtId="191" fontId="21" fillId="32" borderId="68" xfId="58" applyNumberFormat="1" applyFont="1" applyFill="1" applyBorder="1" applyAlignment="1">
      <alignment/>
      <protection/>
    </xf>
    <xf numFmtId="191" fontId="21" fillId="32" borderId="18" xfId="58" applyNumberFormat="1" applyFont="1" applyFill="1" applyBorder="1" applyAlignment="1">
      <alignment/>
      <protection/>
    </xf>
    <xf numFmtId="191" fontId="21" fillId="32" borderId="21" xfId="58" applyNumberFormat="1" applyFont="1" applyFill="1" applyBorder="1" applyAlignment="1">
      <alignment/>
      <protection/>
    </xf>
    <xf numFmtId="191" fontId="21" fillId="44" borderId="68" xfId="58" applyNumberFormat="1" applyFont="1" applyFill="1" applyBorder="1" applyAlignment="1">
      <alignment/>
      <protection/>
    </xf>
    <xf numFmtId="191" fontId="21" fillId="44" borderId="18" xfId="58" applyNumberFormat="1" applyFont="1" applyFill="1" applyBorder="1" applyAlignment="1">
      <alignment/>
      <protection/>
    </xf>
    <xf numFmtId="191" fontId="21" fillId="44" borderId="21" xfId="58" applyNumberFormat="1" applyFont="1" applyFill="1" applyBorder="1" applyAlignment="1">
      <alignment/>
      <protection/>
    </xf>
    <xf numFmtId="195" fontId="21" fillId="33" borderId="0" xfId="57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4" fontId="177" fillId="39" borderId="26" xfId="0" applyNumberFormat="1" applyFont="1" applyFill="1" applyBorder="1" applyAlignment="1" applyProtection="1">
      <alignment horizontal="center"/>
      <protection/>
    </xf>
    <xf numFmtId="174" fontId="178" fillId="39" borderId="26" xfId="0" applyNumberFormat="1" applyFont="1" applyFill="1" applyBorder="1" applyAlignment="1" applyProtection="1">
      <alignment horizontal="center"/>
      <protection/>
    </xf>
    <xf numFmtId="185" fontId="153" fillId="39" borderId="26" xfId="0" applyNumberFormat="1" applyFont="1" applyFill="1" applyBorder="1" applyAlignment="1" applyProtection="1" quotePrefix="1">
      <alignment horizontal="center"/>
      <protection/>
    </xf>
    <xf numFmtId="173" fontId="154" fillId="40" borderId="26" xfId="0" applyNumberFormat="1" applyFont="1" applyFill="1" applyBorder="1" applyAlignment="1" applyProtection="1" quotePrefix="1">
      <alignment horizontal="center"/>
      <protection/>
    </xf>
    <xf numFmtId="185" fontId="159" fillId="40" borderId="26" xfId="0" applyNumberFormat="1" applyFont="1" applyFill="1" applyBorder="1" applyAlignment="1" applyProtection="1" quotePrefix="1">
      <alignment horizontal="center"/>
      <protection/>
    </xf>
    <xf numFmtId="173" fontId="159" fillId="40" borderId="26" xfId="0" applyNumberFormat="1" applyFont="1" applyFill="1" applyBorder="1" applyAlignment="1" applyProtection="1" quotePrefix="1">
      <alignment horizontal="center"/>
      <protection/>
    </xf>
    <xf numFmtId="173" fontId="166" fillId="48" borderId="26" xfId="0" applyNumberFormat="1" applyFont="1" applyFill="1" applyBorder="1" applyAlignment="1" applyProtection="1" quotePrefix="1">
      <alignment horizontal="center"/>
      <protection/>
    </xf>
    <xf numFmtId="185" fontId="160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79" fillId="47" borderId="27" xfId="65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29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204" fontId="21" fillId="33" borderId="0" xfId="58" applyNumberFormat="1" applyFont="1" applyFill="1" applyBorder="1" applyAlignment="1">
      <alignment/>
      <protection/>
    </xf>
    <xf numFmtId="171" fontId="21" fillId="33" borderId="0" xfId="57" applyNumberFormat="1" applyFont="1" applyFill="1" applyBorder="1" applyAlignment="1">
      <alignment/>
      <protection/>
    </xf>
    <xf numFmtId="173" fontId="21" fillId="33" borderId="0" xfId="57" applyNumberFormat="1" applyFont="1" applyFill="1" applyBorder="1" applyAlignment="1">
      <alignment/>
      <protection/>
    </xf>
    <xf numFmtId="189" fontId="18" fillId="54" borderId="19" xfId="58" applyNumberFormat="1" applyFont="1" applyFill="1" applyBorder="1" applyAlignment="1">
      <alignment/>
      <protection/>
    </xf>
    <xf numFmtId="189" fontId="18" fillId="54" borderId="68" xfId="58" applyNumberFormat="1" applyFont="1" applyFill="1" applyBorder="1" applyAlignment="1">
      <alignment/>
      <protection/>
    </xf>
    <xf numFmtId="189" fontId="18" fillId="54" borderId="20" xfId="58" applyNumberFormat="1" applyFont="1" applyFill="1" applyBorder="1" applyAlignment="1">
      <alignment/>
      <protection/>
    </xf>
    <xf numFmtId="189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0" fillId="39" borderId="101" xfId="0" applyNumberFormat="1" applyFont="1" applyFill="1" applyBorder="1" applyAlignment="1" applyProtection="1" quotePrefix="1">
      <alignment horizontal="center"/>
      <protection/>
    </xf>
    <xf numFmtId="205" fontId="154" fillId="40" borderId="101" xfId="0" applyNumberFormat="1" applyFont="1" applyFill="1" applyBorder="1" applyAlignment="1" applyProtection="1" quotePrefix="1">
      <alignment horizontal="center"/>
      <protection/>
    </xf>
    <xf numFmtId="205" fontId="166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1" fillId="32" borderId="44" xfId="0" applyNumberFormat="1" applyFont="1" applyFill="1" applyBorder="1" applyAlignment="1" applyProtection="1">
      <alignment horizontal="center"/>
      <protection locked="0"/>
    </xf>
    <xf numFmtId="205" fontId="180" fillId="39" borderId="26" xfId="0" applyNumberFormat="1" applyFont="1" applyFill="1" applyBorder="1" applyAlignment="1" applyProtection="1">
      <alignment horizontal="center"/>
      <protection/>
    </xf>
    <xf numFmtId="205" fontId="154" fillId="40" borderId="26" xfId="0" applyNumberFormat="1" applyFont="1" applyFill="1" applyBorder="1" applyAlignment="1" applyProtection="1" quotePrefix="1">
      <alignment horizontal="center"/>
      <protection/>
    </xf>
    <xf numFmtId="205" fontId="166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2" fillId="33" borderId="44" xfId="0" applyNumberFormat="1" applyFont="1" applyFill="1" applyBorder="1" applyAlignment="1" applyProtection="1">
      <alignment horizontal="center"/>
      <protection/>
    </xf>
    <xf numFmtId="194" fontId="21" fillId="33" borderId="0" xfId="57" applyNumberFormat="1" applyFont="1" applyFill="1" applyBorder="1" applyAlignment="1">
      <alignment horizontal="center"/>
      <protection/>
    </xf>
    <xf numFmtId="173" fontId="21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0" fontId="21" fillId="32" borderId="0" xfId="57" applyNumberFormat="1" applyFont="1" applyFill="1" applyBorder="1" applyAlignment="1">
      <alignment horizontal="left"/>
      <protection/>
    </xf>
    <xf numFmtId="170" fontId="23" fillId="44" borderId="0" xfId="57" applyNumberFormat="1" applyFont="1" applyFill="1" applyBorder="1" applyAlignment="1">
      <alignment horizontal="center"/>
      <protection/>
    </xf>
    <xf numFmtId="173" fontId="23" fillId="44" borderId="0" xfId="57" applyNumberFormat="1" applyFont="1" applyFill="1" applyBorder="1" applyAlignment="1">
      <alignment horizontal="center"/>
      <protection/>
    </xf>
    <xf numFmtId="170" fontId="21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1" fillId="44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2" fontId="18" fillId="32" borderId="68" xfId="57" applyNumberFormat="1" applyFont="1" applyFill="1" applyBorder="1" applyAlignment="1">
      <alignment horizontal="center"/>
      <protection/>
    </xf>
    <xf numFmtId="172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1" fontId="21" fillId="33" borderId="0" xfId="57" applyNumberFormat="1" applyFont="1" applyFill="1" applyBorder="1" applyAlignment="1">
      <alignment/>
      <protection/>
    </xf>
    <xf numFmtId="172" fontId="21" fillId="38" borderId="0" xfId="57" applyNumberFormat="1" applyFont="1" applyFill="1" applyBorder="1" applyAlignment="1">
      <alignment/>
      <protection/>
    </xf>
    <xf numFmtId="204" fontId="21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21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21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1" fontId="21" fillId="32" borderId="20" xfId="57" applyNumberFormat="1" applyFont="1" applyFill="1" applyBorder="1">
      <alignment/>
      <protection/>
    </xf>
    <xf numFmtId="170" fontId="21" fillId="32" borderId="20" xfId="57" applyNumberFormat="1" applyFont="1" applyFill="1" applyBorder="1" applyAlignment="1">
      <alignment horizontal="left"/>
      <protection/>
    </xf>
    <xf numFmtId="194" fontId="21" fillId="33" borderId="0" xfId="57" applyNumberFormat="1" applyFont="1" applyFill="1" applyBorder="1" applyAlignment="1">
      <alignment horizontal="center"/>
      <protection/>
    </xf>
    <xf numFmtId="196" fontId="55" fillId="32" borderId="19" xfId="58" applyNumberFormat="1" applyFont="1" applyFill="1" applyBorder="1" applyAlignment="1">
      <alignment horizontal="center"/>
      <protection/>
    </xf>
    <xf numFmtId="173" fontId="21" fillId="32" borderId="0" xfId="57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center"/>
      <protection/>
    </xf>
    <xf numFmtId="192" fontId="55" fillId="44" borderId="0" xfId="58" applyNumberFormat="1" applyFont="1" applyFill="1" applyBorder="1" applyAlignment="1">
      <alignment horizontal="center"/>
      <protection/>
    </xf>
    <xf numFmtId="197" fontId="55" fillId="32" borderId="0" xfId="58" applyNumberFormat="1" applyFont="1" applyFill="1" applyBorder="1" applyAlignment="1">
      <alignment horizontal="center"/>
      <protection/>
    </xf>
    <xf numFmtId="198" fontId="55" fillId="32" borderId="20" xfId="58" applyNumberFormat="1" applyFont="1" applyFill="1" applyBorder="1" applyAlignment="1">
      <alignment horizontal="center"/>
      <protection/>
    </xf>
    <xf numFmtId="189" fontId="21" fillId="33" borderId="0" xfId="58" applyNumberFormat="1" applyFont="1" applyFill="1" applyBorder="1" applyAlignment="1">
      <alignment horizontal="center"/>
      <protection/>
    </xf>
    <xf numFmtId="189" fontId="21" fillId="44" borderId="0" xfId="58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left"/>
      <protection/>
    </xf>
    <xf numFmtId="197" fontId="55" fillId="44" borderId="0" xfId="58" applyNumberFormat="1" applyFont="1" applyFill="1" applyBorder="1" applyAlignment="1">
      <alignment horizontal="center"/>
      <protection/>
    </xf>
    <xf numFmtId="198" fontId="55" fillId="44" borderId="20" xfId="58" applyNumberFormat="1" applyFont="1" applyFill="1" applyBorder="1" applyAlignment="1">
      <alignment horizontal="center"/>
      <protection/>
    </xf>
    <xf numFmtId="196" fontId="55" fillId="44" borderId="19" xfId="58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left"/>
      <protection/>
    </xf>
    <xf numFmtId="204" fontId="21" fillId="33" borderId="0" xfId="58" applyNumberFormat="1" applyFont="1" applyFill="1" applyBorder="1" applyAlignment="1">
      <alignment horizontal="center"/>
      <protection/>
    </xf>
    <xf numFmtId="173" fontId="21" fillId="44" borderId="0" xfId="57" applyNumberFormat="1" applyFont="1" applyFill="1" applyBorder="1" applyAlignment="1">
      <alignment horizontal="center"/>
      <protection/>
    </xf>
    <xf numFmtId="189" fontId="21" fillId="32" borderId="0" xfId="58" applyNumberFormat="1" applyFont="1" applyFill="1" applyBorder="1" applyAlignment="1">
      <alignment horizontal="center"/>
      <protection/>
    </xf>
    <xf numFmtId="191" fontId="55" fillId="44" borderId="19" xfId="58" applyNumberFormat="1" applyFont="1" applyFill="1" applyBorder="1" applyAlignment="1">
      <alignment horizontal="center"/>
      <protection/>
    </xf>
    <xf numFmtId="193" fontId="55" fillId="32" borderId="20" xfId="58" applyNumberFormat="1" applyFont="1" applyFill="1" applyBorder="1" applyAlignment="1">
      <alignment horizontal="center"/>
      <protection/>
    </xf>
    <xf numFmtId="187" fontId="8" fillId="52" borderId="131" xfId="58" applyNumberFormat="1" applyFont="1" applyFill="1" applyBorder="1" applyAlignment="1">
      <alignment horizontal="center"/>
      <protection/>
    </xf>
    <xf numFmtId="173" fontId="21" fillId="33" borderId="0" xfId="57" applyNumberFormat="1" applyFont="1" applyFill="1" applyBorder="1" applyAlignment="1">
      <alignment horizontal="center"/>
      <protection/>
    </xf>
    <xf numFmtId="171" fontId="21" fillId="44" borderId="0" xfId="57" applyNumberFormat="1" applyFont="1" applyFill="1" applyBorder="1" applyAlignment="1">
      <alignment horizontal="center"/>
      <protection/>
    </xf>
    <xf numFmtId="172" fontId="21" fillId="38" borderId="0" xfId="57" applyNumberFormat="1" applyFont="1" applyFill="1" applyBorder="1" applyAlignment="1">
      <alignment horizontal="left"/>
      <protection/>
    </xf>
    <xf numFmtId="193" fontId="55" fillId="44" borderId="20" xfId="58" applyNumberFormat="1" applyFont="1" applyFill="1" applyBorder="1" applyAlignment="1">
      <alignment horizontal="center"/>
      <protection/>
    </xf>
    <xf numFmtId="191" fontId="55" fillId="32" borderId="19" xfId="58" applyNumberFormat="1" applyFont="1" applyFill="1" applyBorder="1" applyAlignment="1">
      <alignment horizontal="center"/>
      <protection/>
    </xf>
    <xf numFmtId="192" fontId="55" fillId="32" borderId="0" xfId="58" applyNumberFormat="1" applyFont="1" applyFill="1" applyBorder="1" applyAlignment="1">
      <alignment horizontal="center"/>
      <protection/>
    </xf>
    <xf numFmtId="170" fontId="21" fillId="32" borderId="0" xfId="57" applyNumberFormat="1" applyFont="1" applyFill="1" applyBorder="1" applyAlignment="1">
      <alignment horizontal="center"/>
      <protection/>
    </xf>
    <xf numFmtId="172" fontId="21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21" fillId="33" borderId="0" xfId="57" applyNumberFormat="1" applyFont="1" applyFill="1" applyBorder="1" applyAlignment="1">
      <alignment horizontal="center"/>
      <protection/>
    </xf>
    <xf numFmtId="172" fontId="21" fillId="38" borderId="0" xfId="57" applyNumberFormat="1" applyFont="1" applyFill="1" applyBorder="1" applyAlignment="1">
      <alignment horizontal="center"/>
      <protection/>
    </xf>
    <xf numFmtId="0" fontId="183" fillId="55" borderId="0" xfId="63" applyFont="1" applyFill="1" applyBorder="1" applyAlignment="1">
      <alignment horizontal="center"/>
      <protection/>
    </xf>
    <xf numFmtId="202" fontId="184" fillId="55" borderId="0" xfId="63" applyNumberFormat="1" applyFont="1" applyFill="1" applyBorder="1" applyAlignment="1">
      <alignment horizontal="center"/>
      <protection/>
    </xf>
    <xf numFmtId="204" fontId="21" fillId="33" borderId="0" xfId="58" applyNumberFormat="1" applyFont="1" applyFill="1" applyBorder="1" applyAlignment="1">
      <alignment horizontal="left"/>
      <protection/>
    </xf>
    <xf numFmtId="200" fontId="185" fillId="47" borderId="42" xfId="65" applyNumberFormat="1" applyFont="1" applyFill="1" applyBorder="1" applyAlignment="1" applyProtection="1">
      <alignment horizontal="left"/>
      <protection/>
    </xf>
    <xf numFmtId="200" fontId="185" fillId="47" borderId="28" xfId="65" applyNumberFormat="1" applyFont="1" applyFill="1" applyBorder="1" applyAlignment="1" applyProtection="1">
      <alignment horizontal="left"/>
      <protection/>
    </xf>
    <xf numFmtId="0" fontId="184" fillId="55" borderId="0" xfId="57" applyFont="1" applyFill="1" applyAlignment="1" applyProtection="1" quotePrefix="1">
      <alignment horizontal="center"/>
      <protection/>
    </xf>
    <xf numFmtId="203" fontId="184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86" fillId="33" borderId="46" xfId="65" applyNumberFormat="1" applyFont="1" applyFill="1" applyBorder="1" applyAlignment="1" applyProtection="1">
      <alignment horizontal="center"/>
      <protection/>
    </xf>
    <xf numFmtId="38" fontId="186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86" fillId="33" borderId="48" xfId="65" applyNumberFormat="1" applyFont="1" applyFill="1" applyBorder="1" applyAlignment="1" applyProtection="1">
      <alignment horizontal="center"/>
      <protection/>
    </xf>
    <xf numFmtId="38" fontId="186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42" xfId="0" applyNumberFormat="1" applyFont="1" applyFill="1" applyBorder="1" applyAlignment="1" applyProtection="1">
      <alignment horizont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 locked="0"/>
    </xf>
    <xf numFmtId="181" fontId="148" fillId="33" borderId="27" xfId="62" applyNumberFormat="1" applyFont="1" applyFill="1" applyBorder="1" applyAlignment="1" applyProtection="1" quotePrefix="1">
      <alignment horizontal="center" vertical="center"/>
      <protection locked="0"/>
    </xf>
    <xf numFmtId="181" fontId="148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0" fillId="36" borderId="27" xfId="53" applyFill="1" applyBorder="1" applyAlignment="1" applyProtection="1">
      <alignment horizontal="center" vertical="center"/>
      <protection locked="0"/>
    </xf>
    <xf numFmtId="0" fontId="187" fillId="36" borderId="42" xfId="53" applyFont="1" applyFill="1" applyBorder="1" applyAlignment="1" applyProtection="1">
      <alignment horizontal="center" vertical="center"/>
      <protection locked="0"/>
    </xf>
    <xf numFmtId="0" fontId="187" fillId="36" borderId="28" xfId="53" applyFont="1" applyFill="1" applyBorder="1" applyAlignment="1" applyProtection="1">
      <alignment horizontal="center" vertical="center"/>
      <protection locked="0"/>
    </xf>
    <xf numFmtId="38" fontId="140" fillId="33" borderId="27" xfId="53" applyNumberFormat="1" applyFill="1" applyBorder="1" applyAlignment="1" applyProtection="1">
      <alignment horizontal="center" vertical="center"/>
      <protection locked="0"/>
    </xf>
    <xf numFmtId="38" fontId="188" fillId="33" borderId="42" xfId="53" applyNumberFormat="1" applyFont="1" applyFill="1" applyBorder="1" applyAlignment="1" applyProtection="1">
      <alignment horizontal="center" vertical="center"/>
      <protection locked="0"/>
    </xf>
    <xf numFmtId="38" fontId="188" fillId="33" borderId="28" xfId="53" applyNumberFormat="1" applyFont="1" applyFill="1" applyBorder="1" applyAlignment="1" applyProtection="1">
      <alignment horizontal="center" vertical="center"/>
      <protection locked="0"/>
    </xf>
    <xf numFmtId="0" fontId="189" fillId="32" borderId="0" xfId="60" applyFont="1" applyFill="1" applyBorder="1" applyAlignment="1" applyProtection="1">
      <alignment horizontal="center"/>
      <protection/>
    </xf>
    <xf numFmtId="179" fontId="154" fillId="33" borderId="27" xfId="60" applyNumberFormat="1" applyFont="1" applyFill="1" applyBorder="1" applyAlignment="1" applyProtection="1">
      <alignment horizontal="center"/>
      <protection/>
    </xf>
    <xf numFmtId="179" fontId="154" fillId="33" borderId="42" xfId="60" applyNumberFormat="1" applyFont="1" applyFill="1" applyBorder="1" applyAlignment="1" applyProtection="1">
      <alignment horizontal="center"/>
      <protection/>
    </xf>
    <xf numFmtId="179" fontId="154" fillId="33" borderId="28" xfId="60" applyNumberFormat="1" applyFont="1" applyFill="1" applyBorder="1" applyAlignment="1" applyProtection="1">
      <alignment horizontal="center"/>
      <protection/>
    </xf>
    <xf numFmtId="0" fontId="52" fillId="49" borderId="133" xfId="64" applyFont="1" applyFill="1" applyBorder="1" applyAlignment="1" applyProtection="1" quotePrefix="1">
      <alignment horizontal="center" wrapText="1"/>
      <protection locked="0"/>
    </xf>
    <xf numFmtId="0" fontId="52" fillId="49" borderId="52" xfId="64" applyFont="1" applyFill="1" applyBorder="1" applyAlignment="1" applyProtection="1">
      <alignment horizontal="center" wrapText="1"/>
      <protection locked="0"/>
    </xf>
    <xf numFmtId="0" fontId="52" fillId="49" borderId="134" xfId="64" applyFont="1" applyFill="1" applyBorder="1" applyAlignment="1" applyProtection="1">
      <alignment horizontal="center" wrapText="1"/>
      <protection locked="0"/>
    </xf>
    <xf numFmtId="0" fontId="190" fillId="32" borderId="44" xfId="57" applyFont="1" applyFill="1" applyBorder="1" applyAlignment="1" applyProtection="1" quotePrefix="1">
      <alignment horizontal="center"/>
      <protection/>
    </xf>
    <xf numFmtId="0" fontId="191" fillId="38" borderId="25" xfId="64" applyFont="1" applyFill="1" applyBorder="1" applyAlignment="1" applyProtection="1">
      <alignment horizontal="center" vertical="center" wrapText="1"/>
      <protection locked="0"/>
    </xf>
    <xf numFmtId="0" fontId="191" fillId="38" borderId="20" xfId="64" applyFont="1" applyFill="1" applyBorder="1" applyAlignment="1" applyProtection="1">
      <alignment horizontal="center" vertical="center" wrapText="1"/>
      <protection locked="0"/>
    </xf>
    <xf numFmtId="0" fontId="191" fillId="38" borderId="21" xfId="64" applyFont="1" applyFill="1" applyBorder="1" applyAlignment="1" applyProtection="1">
      <alignment horizontal="center" vertical="center" wrapText="1"/>
      <protection locked="0"/>
    </xf>
    <xf numFmtId="0" fontId="192" fillId="33" borderId="60" xfId="61" applyFont="1" applyFill="1" applyBorder="1" applyAlignment="1" applyProtection="1">
      <alignment horizontal="center"/>
      <protection/>
    </xf>
    <xf numFmtId="0" fontId="192" fillId="33" borderId="0" xfId="61" applyFont="1" applyFill="1" applyBorder="1" applyAlignment="1" applyProtection="1">
      <alignment horizontal="center"/>
      <protection/>
    </xf>
    <xf numFmtId="0" fontId="192" fillId="33" borderId="29" xfId="61" applyFont="1" applyFill="1" applyBorder="1" applyAlignment="1" applyProtection="1">
      <alignment horizontal="center"/>
      <protection/>
    </xf>
    <xf numFmtId="0" fontId="163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9" fontId="193" fillId="32" borderId="0" xfId="60" applyNumberFormat="1" applyFont="1" applyFill="1" applyBorder="1" applyAlignment="1" applyProtection="1">
      <alignment horizontal="center"/>
      <protection/>
    </xf>
    <xf numFmtId="0" fontId="148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1" fillId="54" borderId="41" xfId="65" applyNumberFormat="1" applyFont="1" applyFill="1" applyBorder="1" applyAlignment="1" applyProtection="1">
      <alignment horizontal="center"/>
      <protection/>
    </xf>
    <xf numFmtId="38" fontId="21" fillId="54" borderId="42" xfId="65" applyNumberFormat="1" applyFont="1" applyFill="1" applyBorder="1" applyAlignment="1" applyProtection="1">
      <alignment horizontal="center"/>
      <protection/>
    </xf>
    <xf numFmtId="38" fontId="21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38" fontId="21" fillId="42" borderId="50" xfId="65" applyNumberFormat="1" applyFont="1" applyFill="1" applyBorder="1" applyAlignment="1" applyProtection="1">
      <alignment horizontal="center"/>
      <protection/>
    </xf>
    <xf numFmtId="38" fontId="21" fillId="42" borderId="52" xfId="65" applyNumberFormat="1" applyFont="1" applyFill="1" applyBorder="1" applyAlignment="1" applyProtection="1">
      <alignment horizontal="center"/>
      <protection/>
    </xf>
    <xf numFmtId="38" fontId="21" fillId="42" borderId="53" xfId="65" applyNumberFormat="1" applyFont="1" applyFill="1" applyBorder="1" applyAlignment="1" applyProtection="1">
      <alignment horizontal="center"/>
      <protection/>
    </xf>
    <xf numFmtId="38" fontId="21" fillId="42" borderId="58" xfId="65" applyNumberFormat="1" applyFont="1" applyFill="1" applyBorder="1" applyAlignment="1" applyProtection="1">
      <alignment horizontal="center"/>
      <protection/>
    </xf>
    <xf numFmtId="38" fontId="21" fillId="42" borderId="46" xfId="65" applyNumberFormat="1" applyFont="1" applyFill="1" applyBorder="1" applyAlignment="1" applyProtection="1">
      <alignment horizontal="center"/>
      <protection/>
    </xf>
    <xf numFmtId="38" fontId="21" fillId="42" borderId="47" xfId="65" applyNumberFormat="1" applyFont="1" applyFill="1" applyBorder="1" applyAlignment="1" applyProtection="1">
      <alignment horizontal="center"/>
      <protection/>
    </xf>
    <xf numFmtId="38" fontId="21" fillId="42" borderId="59" xfId="65" applyNumberFormat="1" applyFont="1" applyFill="1" applyBorder="1" applyAlignment="1" applyProtection="1">
      <alignment horizontal="center"/>
      <protection/>
    </xf>
    <xf numFmtId="38" fontId="21" fillId="42" borderId="48" xfId="65" applyNumberFormat="1" applyFont="1" applyFill="1" applyBorder="1" applyAlignment="1" applyProtection="1">
      <alignment horizontal="center"/>
      <protection/>
    </xf>
    <xf numFmtId="38" fontId="21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7" fillId="45" borderId="64" xfId="65" applyNumberFormat="1" applyFont="1" applyFill="1" applyBorder="1" applyAlignment="1" applyProtection="1">
      <alignment horizontal="center"/>
      <protection/>
    </xf>
    <xf numFmtId="38" fontId="157" fillId="45" borderId="20" xfId="65" applyNumberFormat="1" applyFont="1" applyFill="1" applyBorder="1" applyAlignment="1" applyProtection="1">
      <alignment horizontal="center"/>
      <protection/>
    </xf>
    <xf numFmtId="38" fontId="157" fillId="45" borderId="57" xfId="65" applyNumberFormat="1" applyFont="1" applyFill="1" applyBorder="1" applyAlignment="1" applyProtection="1">
      <alignment horizontal="center"/>
      <protection/>
    </xf>
    <xf numFmtId="38" fontId="44" fillId="33" borderId="61" xfId="65" applyNumberFormat="1" applyFont="1" applyFill="1" applyBorder="1" applyAlignment="1" applyProtection="1">
      <alignment horizontal="center"/>
      <protection/>
    </xf>
    <xf numFmtId="38" fontId="44" fillId="33" borderId="44" xfId="65" applyNumberFormat="1" applyFont="1" applyFill="1" applyBorder="1" applyAlignment="1" applyProtection="1">
      <alignment horizontal="center"/>
      <protection/>
    </xf>
    <xf numFmtId="38" fontId="44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76" fillId="42" borderId="41" xfId="65" applyNumberFormat="1" applyFont="1" applyFill="1" applyBorder="1" applyAlignment="1" applyProtection="1">
      <alignment horizontal="center"/>
      <protection/>
    </xf>
    <xf numFmtId="38" fontId="176" fillId="42" borderId="42" xfId="65" applyNumberFormat="1" applyFont="1" applyFill="1" applyBorder="1" applyAlignment="1" applyProtection="1">
      <alignment horizontal="center"/>
      <protection/>
    </xf>
    <xf numFmtId="38" fontId="176" fillId="42" borderId="43" xfId="65" applyNumberFormat="1" applyFont="1" applyFill="1" applyBorder="1" applyAlignment="1" applyProtection="1">
      <alignment horizontal="center"/>
      <protection/>
    </xf>
    <xf numFmtId="180" fontId="194" fillId="44" borderId="27" xfId="57" applyNumberFormat="1" applyFont="1" applyFill="1" applyBorder="1" applyAlignment="1" applyProtection="1">
      <alignment horizontal="center" vertical="center"/>
      <protection locked="0"/>
    </xf>
    <xf numFmtId="180" fontId="194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201" fontId="195" fillId="32" borderId="0" xfId="0" applyNumberFormat="1" applyFont="1" applyFill="1" applyAlignment="1" applyProtection="1">
      <alignment horizontal="center"/>
      <protection/>
    </xf>
    <xf numFmtId="201" fontId="195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27" xfId="62" applyNumberFormat="1" applyFont="1" applyFill="1" applyBorder="1" applyAlignment="1" applyProtection="1" quotePrefix="1">
      <alignment horizontal="center" vertical="center"/>
      <protection/>
    </xf>
    <xf numFmtId="181" fontId="8" fillId="33" borderId="28" xfId="62" applyNumberFormat="1" applyFont="1" applyFill="1" applyBorder="1" applyAlignment="1" applyProtection="1" quotePrefix="1">
      <alignment horizontal="center" vertical="center"/>
      <protection/>
    </xf>
    <xf numFmtId="180" fontId="194" fillId="44" borderId="27" xfId="57" applyNumberFormat="1" applyFont="1" applyFill="1" applyBorder="1" applyAlignment="1" applyProtection="1">
      <alignment horizontal="center" vertical="center"/>
      <protection/>
    </xf>
    <xf numFmtId="180" fontId="194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5" fillId="33" borderId="25" xfId="64" applyFont="1" applyFill="1" applyBorder="1" applyAlignment="1" applyProtection="1">
      <alignment horizontal="center" vertical="center" wrapText="1"/>
      <protection/>
    </xf>
    <xf numFmtId="0" fontId="55" fillId="33" borderId="20" xfId="64" applyFont="1" applyFill="1" applyBorder="1" applyAlignment="1" applyProtection="1">
      <alignment horizontal="center" vertical="center" wrapText="1"/>
      <protection/>
    </xf>
    <xf numFmtId="0" fontId="55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6" fillId="36" borderId="27" xfId="53" applyFont="1" applyFill="1" applyBorder="1" applyAlignment="1" applyProtection="1">
      <alignment horizontal="center" vertical="center"/>
      <protection/>
    </xf>
    <xf numFmtId="0" fontId="196" fillId="36" borderId="42" xfId="53" applyFont="1" applyFill="1" applyBorder="1" applyAlignment="1" applyProtection="1">
      <alignment horizontal="center" vertical="center"/>
      <protection/>
    </xf>
    <xf numFmtId="0" fontId="196" fillId="36" borderId="28" xfId="53" applyFont="1" applyFill="1" applyBorder="1" applyAlignment="1" applyProtection="1">
      <alignment horizontal="center" vertical="center"/>
      <protection/>
    </xf>
    <xf numFmtId="0" fontId="25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3" fillId="33" borderId="0" xfId="60" applyNumberFormat="1" applyFont="1" applyFill="1" applyBorder="1" applyAlignment="1" applyProtection="1">
      <alignment horizontal="center"/>
      <protection/>
    </xf>
    <xf numFmtId="0" fontId="190" fillId="33" borderId="44" xfId="57" applyFont="1" applyFill="1" applyBorder="1" applyAlignment="1" applyProtection="1" quotePrefix="1">
      <alignment horizontal="center"/>
      <protection/>
    </xf>
    <xf numFmtId="179" fontId="4" fillId="32" borderId="27" xfId="60" applyNumberFormat="1" applyFont="1" applyFill="1" applyBorder="1" applyAlignment="1" applyProtection="1">
      <alignment horizontal="center"/>
      <protection/>
    </xf>
    <xf numFmtId="179" fontId="4" fillId="32" borderId="42" xfId="60" applyNumberFormat="1" applyFont="1" applyFill="1" applyBorder="1" applyAlignment="1" applyProtection="1">
      <alignment horizontal="center"/>
      <protection/>
    </xf>
    <xf numFmtId="179" fontId="4" fillId="32" borderId="28" xfId="60" applyNumberFormat="1" applyFont="1" applyFill="1" applyBorder="1" applyAlignment="1" applyProtection="1">
      <alignment horizontal="center"/>
      <protection/>
    </xf>
    <xf numFmtId="0" fontId="192" fillId="33" borderId="115" xfId="61" applyFont="1" applyFill="1" applyBorder="1" applyAlignment="1" applyProtection="1">
      <alignment horizontal="center"/>
      <protection/>
    </xf>
    <xf numFmtId="0" fontId="192" fillId="33" borderId="135" xfId="61" applyFont="1" applyFill="1" applyBorder="1" applyAlignment="1" applyProtection="1">
      <alignment horizontal="center"/>
      <protection/>
    </xf>
    <xf numFmtId="202" fontId="197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88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9">
        <f>+'Cash-Flow-2020-Leva'!P5</f>
        <v>2020</v>
      </c>
      <c r="M2" s="659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66">
        <f>+'Cash-Flow-2020-Leva'!P5</f>
        <v>2020</v>
      </c>
      <c r="I7" s="66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68">
        <f>+'Cash-Flow-2020-Leva'!P5</f>
        <v>2020</v>
      </c>
      <c r="G30" s="668"/>
      <c r="H30" s="668"/>
      <c r="I30" s="66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2">
        <f>+H7</f>
        <v>2020</v>
      </c>
      <c r="H37" s="642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61">
        <f>+F30-1</f>
        <v>2019</v>
      </c>
      <c r="M40" s="661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60">
        <f>+H7-1</f>
        <v>2019</v>
      </c>
      <c r="H42" s="660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47"/>
      <c r="L55" s="647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6">
        <f>+H7</f>
        <v>2020</v>
      </c>
      <c r="L56" s="656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2">
        <f>+H7</f>
        <v>2020</v>
      </c>
      <c r="J57" s="642"/>
      <c r="K57" s="609" t="s">
        <v>388</v>
      </c>
      <c r="L57" s="640">
        <f>+H7</f>
        <v>2020</v>
      </c>
      <c r="M57" s="640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64">
        <f>+H7</f>
        <v>2020</v>
      </c>
      <c r="F59" s="664"/>
      <c r="G59" s="664"/>
      <c r="H59" s="664"/>
      <c r="I59" s="664"/>
      <c r="J59" s="664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65">
        <f>+H7</f>
        <v>2020</v>
      </c>
      <c r="F60" s="665"/>
      <c r="G60" s="665"/>
      <c r="H60" s="665"/>
      <c r="I60" s="665"/>
      <c r="J60" s="665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58">
        <f>+H7</f>
        <v>2020</v>
      </c>
      <c r="F61" s="658"/>
      <c r="G61" s="658"/>
      <c r="H61" s="658"/>
      <c r="I61" s="658"/>
      <c r="J61" s="658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3">
        <f>+H7</f>
        <v>2020</v>
      </c>
      <c r="J75" s="643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47"/>
      <c r="L80" s="647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6">
        <f>+H7</f>
        <v>2020</v>
      </c>
      <c r="L81" s="656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2">
        <f>+H7</f>
        <v>2020</v>
      </c>
      <c r="J82" s="642"/>
      <c r="K82" s="609" t="s">
        <v>405</v>
      </c>
      <c r="L82" s="640">
        <f>+H7</f>
        <v>2020</v>
      </c>
      <c r="M82" s="640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41">
        <f>+H7</f>
        <v>2020</v>
      </c>
      <c r="F84" s="641"/>
      <c r="G84" s="641"/>
      <c r="H84" s="641"/>
      <c r="I84" s="641"/>
      <c r="J84" s="64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45">
        <f>+H7</f>
        <v>2020</v>
      </c>
      <c r="F85" s="645"/>
      <c r="G85" s="645"/>
      <c r="H85" s="645"/>
      <c r="I85" s="645"/>
      <c r="J85" s="645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46">
        <f>+H7</f>
        <v>2020</v>
      </c>
      <c r="F86" s="646"/>
      <c r="G86" s="646"/>
      <c r="H86" s="646"/>
      <c r="I86" s="646"/>
      <c r="J86" s="646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47"/>
      <c r="L96" s="647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48">
        <f>+H7-1</f>
        <v>2019</v>
      </c>
      <c r="L97" s="648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55">
        <f>+H7-1</f>
        <v>2019</v>
      </c>
      <c r="J98" s="655"/>
      <c r="K98" s="609" t="s">
        <v>388</v>
      </c>
      <c r="L98" s="640">
        <f>+H7</f>
        <v>2020</v>
      </c>
      <c r="M98" s="640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57">
        <f>+H7-1</f>
        <v>2019</v>
      </c>
      <c r="F100" s="657"/>
      <c r="G100" s="657"/>
      <c r="H100" s="657"/>
      <c r="I100" s="657"/>
      <c r="J100" s="657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44">
        <f>+H7-1</f>
        <v>2019</v>
      </c>
      <c r="F101" s="644"/>
      <c r="G101" s="644"/>
      <c r="H101" s="644"/>
      <c r="I101" s="644"/>
      <c r="J101" s="644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63">
        <f>+H7-1</f>
        <v>2019</v>
      </c>
      <c r="F102" s="663"/>
      <c r="G102" s="663"/>
      <c r="H102" s="663"/>
      <c r="I102" s="663"/>
      <c r="J102" s="663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3">
        <f>+H7</f>
        <v>2020</v>
      </c>
      <c r="J116" s="643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47"/>
      <c r="L121" s="647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48">
        <f>+H7-1</f>
        <v>2019</v>
      </c>
      <c r="L122" s="648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55">
        <f>+H7-1</f>
        <v>2019</v>
      </c>
      <c r="J123" s="655"/>
      <c r="K123" s="609" t="s">
        <v>405</v>
      </c>
      <c r="L123" s="640">
        <f>+H7</f>
        <v>2020</v>
      </c>
      <c r="M123" s="640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52">
        <f>+H7-1</f>
        <v>2019</v>
      </c>
      <c r="F125" s="652"/>
      <c r="G125" s="652"/>
      <c r="H125" s="652"/>
      <c r="I125" s="652"/>
      <c r="J125" s="652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50">
        <f>+H7-1</f>
        <v>2019</v>
      </c>
      <c r="F126" s="650"/>
      <c r="G126" s="650"/>
      <c r="H126" s="650"/>
      <c r="I126" s="650"/>
      <c r="J126" s="650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51">
        <f>+H7-1</f>
        <v>2019</v>
      </c>
      <c r="F127" s="651"/>
      <c r="G127" s="651"/>
      <c r="H127" s="651"/>
      <c r="I127" s="651"/>
      <c r="J127" s="651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54">
        <f>+H7</f>
        <v>2020</v>
      </c>
      <c r="K136" s="654"/>
      <c r="L136" s="654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2">
        <f>+H7</f>
        <v>2020</v>
      </c>
      <c r="I137" s="642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3">
        <f>+H7</f>
        <v>2020</v>
      </c>
      <c r="J138" s="643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74">
        <f>+H7</f>
        <v>2020</v>
      </c>
      <c r="K144" s="674"/>
      <c r="L144" s="674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2">
        <f>+H14</f>
        <v>2020</v>
      </c>
      <c r="J145" s="642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49">
        <f>+H7</f>
        <v>2020</v>
      </c>
      <c r="L160" s="649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72" t="s">
        <v>343</v>
      </c>
      <c r="G164" s="672"/>
      <c r="H164" s="672"/>
      <c r="I164" s="672"/>
      <c r="J164" s="672"/>
      <c r="K164" s="672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72" t="s">
        <v>344</v>
      </c>
      <c r="G165" s="672"/>
      <c r="H165" s="672"/>
      <c r="I165" s="672"/>
      <c r="J165" s="672"/>
      <c r="K165" s="672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69">
        <f>+'Cash-Flow-2020-Leva'!P5</f>
        <v>2020</v>
      </c>
      <c r="G167" s="669"/>
      <c r="H167" s="669"/>
      <c r="I167" s="66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71">
        <f>+'Cash-Flow-2020-Leva'!P5</f>
        <v>2020</v>
      </c>
      <c r="H168" s="671"/>
      <c r="I168" s="671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70">
        <f>+'Cash-Flow-2020-Leva'!P5</f>
        <v>2020</v>
      </c>
      <c r="G169" s="670"/>
      <c r="H169" s="670"/>
      <c r="I169" s="670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70">
        <f>+'Cash-Flow-2020-Leva'!P5</f>
        <v>2020</v>
      </c>
      <c r="F185" s="670"/>
      <c r="G185" s="670"/>
      <c r="H185" s="670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53">
        <f>+'Cash-Flow-2020-Leva'!P5</f>
        <v>2020</v>
      </c>
      <c r="L186" s="653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62">
        <f>H7</f>
        <v>2020</v>
      </c>
      <c r="E189" s="662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72" t="s">
        <v>343</v>
      </c>
      <c r="G191" s="672"/>
      <c r="H191" s="672"/>
      <c r="I191" s="672"/>
      <c r="J191" s="672"/>
      <c r="K191" s="672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73">
        <f>+L2</f>
        <v>2020</v>
      </c>
      <c r="G192" s="673"/>
      <c r="H192" s="673"/>
      <c r="I192" s="673"/>
      <c r="J192" s="673"/>
      <c r="K192" s="673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67">
        <f>+'Cash-Flow-2020-Leva'!P5</f>
        <v>2020</v>
      </c>
      <c r="I194" s="667"/>
      <c r="J194" s="66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5" sqref="F14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09" t="s">
        <v>456</v>
      </c>
      <c r="C1" s="710"/>
      <c r="D1" s="710"/>
      <c r="E1" s="710"/>
      <c r="F1" s="711"/>
      <c r="G1" s="421" t="s">
        <v>244</v>
      </c>
      <c r="H1" s="414"/>
      <c r="I1" s="697">
        <v>131060676</v>
      </c>
      <c r="J1" s="698"/>
      <c r="K1" s="415"/>
      <c r="L1" s="423" t="s">
        <v>245</v>
      </c>
      <c r="M1" s="419">
        <v>4700</v>
      </c>
      <c r="N1" s="415"/>
      <c r="O1" s="423" t="s">
        <v>239</v>
      </c>
      <c r="P1" s="440">
        <v>29404695</v>
      </c>
      <c r="Q1" s="416"/>
      <c r="R1" s="332" t="s">
        <v>277</v>
      </c>
      <c r="S1" s="782"/>
      <c r="T1" s="783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29" t="s">
        <v>240</v>
      </c>
      <c r="C2" s="730"/>
      <c r="D2" s="730"/>
      <c r="E2" s="730"/>
      <c r="F2" s="731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13" t="s">
        <v>250</v>
      </c>
      <c r="C3" s="714"/>
      <c r="D3" s="714"/>
      <c r="E3" s="714"/>
      <c r="F3" s="715"/>
      <c r="G3" s="422" t="s">
        <v>238</v>
      </c>
      <c r="H3" s="702"/>
      <c r="I3" s="703"/>
      <c r="J3" s="703"/>
      <c r="K3" s="704"/>
      <c r="L3" s="28" t="s">
        <v>246</v>
      </c>
      <c r="M3" s="699" t="s">
        <v>455</v>
      </c>
      <c r="N3" s="700"/>
      <c r="O3" s="700"/>
      <c r="P3" s="701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677">
        <f>+IF(+O174&gt;0,"НЕРАВНЕНИЕ: Касов отчет - Баланс!",0)</f>
        <v>0</v>
      </c>
      <c r="C5" s="677"/>
      <c r="D5" s="733" t="s">
        <v>243</v>
      </c>
      <c r="E5" s="733"/>
      <c r="F5" s="733"/>
      <c r="G5" s="733"/>
      <c r="H5" s="733"/>
      <c r="I5" s="733"/>
      <c r="J5" s="733"/>
      <c r="K5" s="733"/>
      <c r="L5" s="733"/>
      <c r="M5" s="20"/>
      <c r="N5" s="20"/>
      <c r="O5" s="24" t="s">
        <v>17</v>
      </c>
      <c r="P5" s="438">
        <v>2020</v>
      </c>
      <c r="Q5" s="20"/>
      <c r="R5" s="705" t="s">
        <v>180</v>
      </c>
      <c r="S5" s="705"/>
      <c r="T5" s="705"/>
      <c r="U5" s="15"/>
    </row>
    <row r="6" spans="1:28" s="3" customFormat="1" ht="17.25" customHeight="1">
      <c r="A6" s="15"/>
      <c r="B6" s="678">
        <f>+IF(B5=0,0,P5)</f>
        <v>0</v>
      </c>
      <c r="C6" s="678"/>
      <c r="D6" s="733" t="s">
        <v>242</v>
      </c>
      <c r="E6" s="733"/>
      <c r="F6" s="733"/>
      <c r="G6" s="733"/>
      <c r="H6" s="733"/>
      <c r="I6" s="733"/>
      <c r="J6" s="733"/>
      <c r="K6" s="733"/>
      <c r="L6" s="733"/>
      <c r="M6" s="21"/>
      <c r="N6" s="16"/>
      <c r="O6" s="15"/>
      <c r="P6" s="15"/>
      <c r="Q6" s="13"/>
      <c r="R6" s="732">
        <f>+P4</f>
        <v>0</v>
      </c>
      <c r="S6" s="732"/>
      <c r="T6" s="73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12" t="str">
        <f>+B1</f>
        <v>КОМИСИЯ ЗА ФИНАНСОВ НАДЗОР</v>
      </c>
      <c r="E8" s="712"/>
      <c r="F8" s="712"/>
      <c r="G8" s="712"/>
      <c r="H8" s="712"/>
      <c r="I8" s="712"/>
      <c r="J8" s="712"/>
      <c r="K8" s="712"/>
      <c r="L8" s="712"/>
      <c r="M8" s="420" t="s">
        <v>247</v>
      </c>
      <c r="N8" s="16"/>
      <c r="O8" s="579" t="s">
        <v>294</v>
      </c>
      <c r="P8" s="278" t="s">
        <v>46</v>
      </c>
      <c r="Q8" s="13"/>
      <c r="R8" s="706">
        <f>+P5</f>
        <v>2020</v>
      </c>
      <c r="S8" s="707"/>
      <c r="T8" s="708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20" t="s">
        <v>0</v>
      </c>
      <c r="S10" s="721"/>
      <c r="T10" s="72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30.06.2020 г.</v>
      </c>
      <c r="G11" s="384">
        <f>+P5-1</f>
        <v>2019</v>
      </c>
      <c r="H11" s="15"/>
      <c r="I11" s="576" t="str">
        <f>+O8</f>
        <v>30.06.2020 г.</v>
      </c>
      <c r="J11" s="385">
        <f>+P5-1</f>
        <v>2019</v>
      </c>
      <c r="K11" s="16"/>
      <c r="L11" s="577" t="str">
        <f>+O8</f>
        <v>30.06.2020 г.</v>
      </c>
      <c r="M11" s="386">
        <f>+P5-1</f>
        <v>2019</v>
      </c>
      <c r="N11" s="16"/>
      <c r="O11" s="578" t="str">
        <f>+O8</f>
        <v>30.06.2020 г.</v>
      </c>
      <c r="P11" s="387">
        <f>+P5-1</f>
        <v>2019</v>
      </c>
      <c r="Q11" s="340"/>
      <c r="R11" s="723" t="s">
        <v>181</v>
      </c>
      <c r="S11" s="724"/>
      <c r="T11" s="72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726" t="s">
        <v>149</v>
      </c>
      <c r="S15" s="727"/>
      <c r="T15" s="728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15124180</v>
      </c>
      <c r="G16" s="222">
        <v>18023056</v>
      </c>
      <c r="H16" s="15"/>
      <c r="I16" s="222"/>
      <c r="J16" s="221"/>
      <c r="K16" s="215"/>
      <c r="L16" s="222"/>
      <c r="M16" s="221"/>
      <c r="N16" s="215"/>
      <c r="O16" s="349">
        <f t="shared" si="0"/>
        <v>15124180</v>
      </c>
      <c r="P16" s="372">
        <f t="shared" si="0"/>
        <v>18023056</v>
      </c>
      <c r="Q16" s="31"/>
      <c r="R16" s="734" t="s">
        <v>284</v>
      </c>
      <c r="S16" s="735"/>
      <c r="T16" s="736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40" t="s">
        <v>279</v>
      </c>
      <c r="S17" s="741"/>
      <c r="T17" s="74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1503398</v>
      </c>
      <c r="G18" s="218">
        <v>3645452</v>
      </c>
      <c r="H18" s="15"/>
      <c r="I18" s="218"/>
      <c r="J18" s="217"/>
      <c r="K18" s="215"/>
      <c r="L18" s="218"/>
      <c r="M18" s="217"/>
      <c r="N18" s="215"/>
      <c r="O18" s="353">
        <f t="shared" si="0"/>
        <v>1503398</v>
      </c>
      <c r="P18" s="366">
        <f t="shared" si="0"/>
        <v>3645452</v>
      </c>
      <c r="Q18" s="31"/>
      <c r="R18" s="726" t="s">
        <v>150</v>
      </c>
      <c r="S18" s="727"/>
      <c r="T18" s="728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/>
      <c r="G19" s="219"/>
      <c r="H19" s="15"/>
      <c r="I19" s="220"/>
      <c r="J19" s="219"/>
      <c r="K19" s="215"/>
      <c r="L19" s="220"/>
      <c r="M19" s="219"/>
      <c r="N19" s="215"/>
      <c r="O19" s="348">
        <f t="shared" si="0"/>
        <v>0</v>
      </c>
      <c r="P19" s="400">
        <f t="shared" si="0"/>
        <v>0</v>
      </c>
      <c r="Q19" s="31"/>
      <c r="R19" s="737" t="s">
        <v>151</v>
      </c>
      <c r="S19" s="738"/>
      <c r="T19" s="739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/>
      <c r="G20" s="219"/>
      <c r="H20" s="15"/>
      <c r="I20" s="220"/>
      <c r="J20" s="219"/>
      <c r="K20" s="215"/>
      <c r="L20" s="220"/>
      <c r="M20" s="219"/>
      <c r="N20" s="215"/>
      <c r="O20" s="348">
        <f t="shared" si="0"/>
        <v>0</v>
      </c>
      <c r="P20" s="400">
        <f t="shared" si="0"/>
        <v>0</v>
      </c>
      <c r="Q20" s="31"/>
      <c r="R20" s="737" t="s">
        <v>152</v>
      </c>
      <c r="S20" s="738"/>
      <c r="T20" s="739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737" t="s">
        <v>153</v>
      </c>
      <c r="S21" s="738"/>
      <c r="T21" s="739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/>
      <c r="G22" s="219"/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0</v>
      </c>
      <c r="P22" s="400">
        <f t="shared" si="0"/>
        <v>0</v>
      </c>
      <c r="Q22" s="31"/>
      <c r="R22" s="737" t="s">
        <v>154</v>
      </c>
      <c r="S22" s="738"/>
      <c r="T22" s="739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737" t="s">
        <v>155</v>
      </c>
      <c r="S23" s="738"/>
      <c r="T23" s="739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5758</v>
      </c>
      <c r="G24" s="222">
        <v>6244</v>
      </c>
      <c r="H24" s="15"/>
      <c r="I24" s="222"/>
      <c r="J24" s="221"/>
      <c r="K24" s="215"/>
      <c r="L24" s="222"/>
      <c r="M24" s="221"/>
      <c r="N24" s="215"/>
      <c r="O24" s="349">
        <f t="shared" si="0"/>
        <v>5758</v>
      </c>
      <c r="P24" s="372">
        <f t="shared" si="0"/>
        <v>6244</v>
      </c>
      <c r="Q24" s="31"/>
      <c r="R24" s="743" t="s">
        <v>280</v>
      </c>
      <c r="S24" s="744"/>
      <c r="T24" s="745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16633336</v>
      </c>
      <c r="G25" s="223">
        <f>+ROUND(+SUM(G15,G16,G18,G19,G20,G21,G22,G23,G24),0)</f>
        <v>21674752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16633336</v>
      </c>
      <c r="P25" s="351">
        <f>+ROUND(+SUM(P15,P16,P18,P19,P20,P21,P22,P23,P24),0)</f>
        <v>21674752</v>
      </c>
      <c r="Q25" s="31"/>
      <c r="R25" s="746" t="s">
        <v>182</v>
      </c>
      <c r="S25" s="747"/>
      <c r="T25" s="74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726" t="s">
        <v>156</v>
      </c>
      <c r="S27" s="727"/>
      <c r="T27" s="72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737" t="s">
        <v>157</v>
      </c>
      <c r="S28" s="738"/>
      <c r="T28" s="73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43" t="s">
        <v>158</v>
      </c>
      <c r="S29" s="744"/>
      <c r="T29" s="74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746" t="s">
        <v>183</v>
      </c>
      <c r="S30" s="747"/>
      <c r="T30" s="74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-86769</v>
      </c>
      <c r="G37" s="236">
        <v>-239439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-86769</v>
      </c>
      <c r="P37" s="351">
        <f t="shared" si="2"/>
        <v>-239439</v>
      </c>
      <c r="Q37" s="31"/>
      <c r="R37" s="746" t="s">
        <v>184</v>
      </c>
      <c r="S37" s="747"/>
      <c r="T37" s="74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/>
      <c r="G38" s="237"/>
      <c r="H38" s="15"/>
      <c r="I38" s="238"/>
      <c r="J38" s="237"/>
      <c r="K38" s="215"/>
      <c r="L38" s="238"/>
      <c r="M38" s="237"/>
      <c r="N38" s="215"/>
      <c r="O38" s="363">
        <f t="shared" si="2"/>
        <v>0</v>
      </c>
      <c r="P38" s="401">
        <f t="shared" si="2"/>
        <v>0</v>
      </c>
      <c r="Q38" s="31"/>
      <c r="R38" s="749" t="s">
        <v>159</v>
      </c>
      <c r="S38" s="750"/>
      <c r="T38" s="75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/>
      <c r="G39" s="239"/>
      <c r="H39" s="15"/>
      <c r="I39" s="240"/>
      <c r="J39" s="239"/>
      <c r="K39" s="215"/>
      <c r="L39" s="240"/>
      <c r="M39" s="239"/>
      <c r="N39" s="215"/>
      <c r="O39" s="364">
        <f t="shared" si="2"/>
        <v>0</v>
      </c>
      <c r="P39" s="402">
        <f t="shared" si="2"/>
        <v>0</v>
      </c>
      <c r="Q39" s="31"/>
      <c r="R39" s="752" t="s">
        <v>160</v>
      </c>
      <c r="S39" s="753"/>
      <c r="T39" s="75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55" t="s">
        <v>161</v>
      </c>
      <c r="S40" s="756"/>
      <c r="T40" s="75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879</v>
      </c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879</v>
      </c>
      <c r="P42" s="351">
        <f>+ROUND(+G42+J42+M42,0)</f>
        <v>0</v>
      </c>
      <c r="Q42" s="31"/>
      <c r="R42" s="746" t="s">
        <v>185</v>
      </c>
      <c r="S42" s="747"/>
      <c r="T42" s="74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726" t="s">
        <v>162</v>
      </c>
      <c r="S44" s="727"/>
      <c r="T44" s="72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737" t="s">
        <v>163</v>
      </c>
      <c r="S45" s="738"/>
      <c r="T45" s="73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737" t="s">
        <v>164</v>
      </c>
      <c r="S46" s="738"/>
      <c r="T46" s="73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43" t="s">
        <v>165</v>
      </c>
      <c r="S47" s="744"/>
      <c r="T47" s="74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0</v>
      </c>
      <c r="Q48" s="31"/>
      <c r="R48" s="746" t="s">
        <v>186</v>
      </c>
      <c r="S48" s="747"/>
      <c r="T48" s="74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16547446</v>
      </c>
      <c r="G50" s="245">
        <f>+ROUND(G25+G30+G37+G42+G48,0)</f>
        <v>21435313</v>
      </c>
      <c r="H50" s="15"/>
      <c r="I50" s="246">
        <f>+ROUND(I25+I30+I37+I42+I48,0)</f>
        <v>0</v>
      </c>
      <c r="J50" s="245">
        <f>+ROUND(J25+J30+J37+J42+J48,0)</f>
        <v>0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16547446</v>
      </c>
      <c r="P50" s="368">
        <f>+ROUND(P25+P30+P37+P42+P48,0)</f>
        <v>21435313</v>
      </c>
      <c r="Q50" s="94"/>
      <c r="R50" s="758" t="s">
        <v>187</v>
      </c>
      <c r="S50" s="759"/>
      <c r="T50" s="76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1042210</v>
      </c>
      <c r="G53" s="248">
        <v>4827608</v>
      </c>
      <c r="H53" s="15"/>
      <c r="I53" s="248"/>
      <c r="J53" s="247"/>
      <c r="K53" s="215"/>
      <c r="L53" s="248"/>
      <c r="M53" s="247"/>
      <c r="N53" s="215"/>
      <c r="O53" s="354">
        <f aca="true" t="shared" si="4" ref="O53:P57">+ROUND(+F53+I53+L53,0)</f>
        <v>1042210</v>
      </c>
      <c r="P53" s="347">
        <f t="shared" si="4"/>
        <v>4827608</v>
      </c>
      <c r="Q53" s="31"/>
      <c r="R53" s="726" t="s">
        <v>188</v>
      </c>
      <c r="S53" s="727"/>
      <c r="T53" s="72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2444</v>
      </c>
      <c r="G54" s="222">
        <v>44776</v>
      </c>
      <c r="H54" s="15"/>
      <c r="I54" s="222"/>
      <c r="J54" s="221"/>
      <c r="K54" s="215"/>
      <c r="L54" s="222"/>
      <c r="M54" s="221"/>
      <c r="N54" s="215"/>
      <c r="O54" s="349">
        <f t="shared" si="4"/>
        <v>2444</v>
      </c>
      <c r="P54" s="372">
        <f t="shared" si="4"/>
        <v>44776</v>
      </c>
      <c r="Q54" s="31"/>
      <c r="R54" s="737" t="s">
        <v>166</v>
      </c>
      <c r="S54" s="738"/>
      <c r="T54" s="73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37193</v>
      </c>
      <c r="G55" s="222">
        <v>42990</v>
      </c>
      <c r="H55" s="15"/>
      <c r="I55" s="222"/>
      <c r="J55" s="221"/>
      <c r="K55" s="215"/>
      <c r="L55" s="222"/>
      <c r="M55" s="221"/>
      <c r="N55" s="215"/>
      <c r="O55" s="349">
        <f t="shared" si="4"/>
        <v>37193</v>
      </c>
      <c r="P55" s="372">
        <f t="shared" si="4"/>
        <v>42990</v>
      </c>
      <c r="Q55" s="31"/>
      <c r="R55" s="737" t="s">
        <v>167</v>
      </c>
      <c r="S55" s="738"/>
      <c r="T55" s="73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4562134</v>
      </c>
      <c r="G56" s="222">
        <v>10789784</v>
      </c>
      <c r="H56" s="15"/>
      <c r="I56" s="222"/>
      <c r="J56" s="221"/>
      <c r="K56" s="215"/>
      <c r="L56" s="222"/>
      <c r="M56" s="221"/>
      <c r="N56" s="215"/>
      <c r="O56" s="349">
        <f t="shared" si="4"/>
        <v>4562134</v>
      </c>
      <c r="P56" s="372">
        <f t="shared" si="4"/>
        <v>10789784</v>
      </c>
      <c r="Q56" s="31"/>
      <c r="R56" s="737" t="s">
        <v>168</v>
      </c>
      <c r="S56" s="738"/>
      <c r="T56" s="73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654256</v>
      </c>
      <c r="G57" s="222">
        <v>1370769</v>
      </c>
      <c r="H57" s="15"/>
      <c r="I57" s="222"/>
      <c r="J57" s="221"/>
      <c r="K57" s="215"/>
      <c r="L57" s="222"/>
      <c r="M57" s="221"/>
      <c r="N57" s="215"/>
      <c r="O57" s="349">
        <f t="shared" si="4"/>
        <v>654256</v>
      </c>
      <c r="P57" s="372">
        <f t="shared" si="4"/>
        <v>1370769</v>
      </c>
      <c r="Q57" s="31"/>
      <c r="R57" s="743" t="s">
        <v>169</v>
      </c>
      <c r="S57" s="744"/>
      <c r="T57" s="74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6298237</v>
      </c>
      <c r="G58" s="249">
        <f>+ROUND(+SUM(G53:G57),0)</f>
        <v>17075927</v>
      </c>
      <c r="H58" s="15"/>
      <c r="I58" s="250">
        <f>+ROUND(+SUM(I53:I57),0)</f>
        <v>0</v>
      </c>
      <c r="J58" s="249">
        <f>+ROUND(+SUM(J53:J57),0)</f>
        <v>0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6298237</v>
      </c>
      <c r="P58" s="370">
        <f>+ROUND(+SUM(P53:P57),0)</f>
        <v>17075927</v>
      </c>
      <c r="Q58" s="31"/>
      <c r="R58" s="746" t="s">
        <v>189</v>
      </c>
      <c r="S58" s="747"/>
      <c r="T58" s="74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726" t="s">
        <v>170</v>
      </c>
      <c r="S60" s="727"/>
      <c r="T60" s="72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33042</v>
      </c>
      <c r="G61" s="222">
        <v>298146</v>
      </c>
      <c r="H61" s="15"/>
      <c r="I61" s="222"/>
      <c r="J61" s="221"/>
      <c r="K61" s="215"/>
      <c r="L61" s="222"/>
      <c r="M61" s="221"/>
      <c r="N61" s="215"/>
      <c r="O61" s="349">
        <f t="shared" si="5"/>
        <v>33042</v>
      </c>
      <c r="P61" s="372">
        <f t="shared" si="5"/>
        <v>298146</v>
      </c>
      <c r="Q61" s="31"/>
      <c r="R61" s="737" t="s">
        <v>171</v>
      </c>
      <c r="S61" s="738"/>
      <c r="T61" s="73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48475</v>
      </c>
      <c r="G62" s="222">
        <v>352942</v>
      </c>
      <c r="H62" s="15"/>
      <c r="I62" s="222"/>
      <c r="J62" s="221"/>
      <c r="K62" s="215"/>
      <c r="L62" s="222"/>
      <c r="M62" s="221"/>
      <c r="N62" s="215"/>
      <c r="O62" s="349">
        <f t="shared" si="5"/>
        <v>48475</v>
      </c>
      <c r="P62" s="372">
        <f t="shared" si="5"/>
        <v>352942</v>
      </c>
      <c r="Q62" s="31"/>
      <c r="R62" s="737" t="s">
        <v>172</v>
      </c>
      <c r="S62" s="738"/>
      <c r="T62" s="73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43" t="s">
        <v>190</v>
      </c>
      <c r="S63" s="744"/>
      <c r="T63" s="74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81517</v>
      </c>
      <c r="G65" s="249">
        <f>+ROUND(+SUM(G60:G63),0)</f>
        <v>651088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81517</v>
      </c>
      <c r="P65" s="370">
        <f>+ROUND(+SUM(P60:P63),0)</f>
        <v>651088</v>
      </c>
      <c r="Q65" s="31"/>
      <c r="R65" s="746" t="s">
        <v>192</v>
      </c>
      <c r="S65" s="747"/>
      <c r="T65" s="74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726" t="s">
        <v>173</v>
      </c>
      <c r="S67" s="727"/>
      <c r="T67" s="72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737" t="s">
        <v>174</v>
      </c>
      <c r="S68" s="738"/>
      <c r="T68" s="73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746" t="s">
        <v>193</v>
      </c>
      <c r="S69" s="747"/>
      <c r="T69" s="74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/>
      <c r="G71" s="247"/>
      <c r="H71" s="15"/>
      <c r="I71" s="248"/>
      <c r="J71" s="247"/>
      <c r="K71" s="215"/>
      <c r="L71" s="248"/>
      <c r="M71" s="247"/>
      <c r="N71" s="215"/>
      <c r="O71" s="354">
        <f>+ROUND(+F71+I71+L71,0)</f>
        <v>0</v>
      </c>
      <c r="P71" s="347">
        <f>+ROUND(+G71+J71+M71,0)</f>
        <v>0</v>
      </c>
      <c r="Q71" s="31"/>
      <c r="R71" s="726" t="s">
        <v>175</v>
      </c>
      <c r="S71" s="727"/>
      <c r="T71" s="72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737" t="s">
        <v>176</v>
      </c>
      <c r="S72" s="738"/>
      <c r="T72" s="73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0</v>
      </c>
      <c r="G73" s="249">
        <f>+ROUND(+SUM(G71:G72),0)</f>
        <v>0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0</v>
      </c>
      <c r="P73" s="370">
        <f>+ROUND(+SUM(P71:P72),0)</f>
        <v>0</v>
      </c>
      <c r="Q73" s="31"/>
      <c r="R73" s="746" t="s">
        <v>194</v>
      </c>
      <c r="S73" s="747"/>
      <c r="T73" s="74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726" t="s">
        <v>177</v>
      </c>
      <c r="S75" s="727"/>
      <c r="T75" s="72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737" t="s">
        <v>195</v>
      </c>
      <c r="S76" s="738"/>
      <c r="T76" s="73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746" t="s">
        <v>196</v>
      </c>
      <c r="S77" s="747"/>
      <c r="T77" s="74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6379754</v>
      </c>
      <c r="G79" s="260">
        <f>+ROUND(G58+G65+G69+G73+G77,0)</f>
        <v>17727015</v>
      </c>
      <c r="H79" s="15"/>
      <c r="I79" s="257">
        <f>+ROUND(I58+I65+I69+I73+I77,0)</f>
        <v>0</v>
      </c>
      <c r="J79" s="260">
        <f>+ROUND(J58+J65+J69+J73+J77,0)</f>
        <v>0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6379754</v>
      </c>
      <c r="P79" s="380">
        <f>+ROUND(P58+P65+P69+P73+P77,0)</f>
        <v>17727015</v>
      </c>
      <c r="Q79" s="31"/>
      <c r="R79" s="761" t="s">
        <v>197</v>
      </c>
      <c r="S79" s="762"/>
      <c r="T79" s="76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-10158646</v>
      </c>
      <c r="G81" s="218">
        <v>-3707876</v>
      </c>
      <c r="H81" s="15"/>
      <c r="I81" s="218"/>
      <c r="J81" s="217"/>
      <c r="K81" s="215"/>
      <c r="L81" s="218"/>
      <c r="M81" s="217"/>
      <c r="N81" s="215"/>
      <c r="O81" s="353">
        <f>+ROUND(+F81+I81+L81,0)</f>
        <v>-10158646</v>
      </c>
      <c r="P81" s="366">
        <f>+ROUND(+G81+J81+M81,0)</f>
        <v>-3707876</v>
      </c>
      <c r="Q81" s="31"/>
      <c r="R81" s="726" t="s">
        <v>178</v>
      </c>
      <c r="S81" s="727"/>
      <c r="T81" s="72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737" t="s">
        <v>179</v>
      </c>
      <c r="S82" s="738"/>
      <c r="T82" s="73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-10158646</v>
      </c>
      <c r="G83" s="258">
        <f>+ROUND(G81+G82,0)</f>
        <v>-3707876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-10158646</v>
      </c>
      <c r="P83" s="375">
        <f>+ROUND(P81+P82,0)</f>
        <v>-3707876</v>
      </c>
      <c r="Q83" s="31"/>
      <c r="R83" s="764" t="s">
        <v>198</v>
      </c>
      <c r="S83" s="765"/>
      <c r="T83" s="76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7"/>
      <c r="D84" s="718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9046</v>
      </c>
      <c r="G85" s="279">
        <f>+ROUND(G50,0)-ROUND(G79,0)+ROUND(G83,0)</f>
        <v>422</v>
      </c>
      <c r="H85" s="15"/>
      <c r="I85" s="280">
        <f>+ROUND(I50,0)-ROUND(I79,0)+ROUND(I83,0)</f>
        <v>0</v>
      </c>
      <c r="J85" s="279">
        <f>+ROUND(J50,0)-ROUND(J79,0)+ROUND(J83,0)</f>
        <v>0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9046</v>
      </c>
      <c r="P85" s="377">
        <f>+ROUND(P50,0)-ROUND(P79,0)+ROUND(P83,0)</f>
        <v>422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-9046</v>
      </c>
      <c r="G86" s="281">
        <f>+ROUND(G103,0)+ROUND(G122,0)+ROUND(G129,0)-ROUND(G134,0)</f>
        <v>-422</v>
      </c>
      <c r="H86" s="15"/>
      <c r="I86" s="282">
        <f>+ROUND(I103,0)+ROUND(I122,0)+ROUND(I129,0)-ROUND(I134,0)</f>
        <v>0</v>
      </c>
      <c r="J86" s="281">
        <f>+ROUND(J103,0)+ROUND(J122,0)+ROUND(J129,0)-ROUND(J134,0)</f>
        <v>0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-9046</v>
      </c>
      <c r="P86" s="379">
        <f>+ROUND(P103,0)+ROUND(P122,0)+ROUND(P129,0)-ROUND(P134,0)</f>
        <v>-422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726" t="s">
        <v>199</v>
      </c>
      <c r="S89" s="727"/>
      <c r="T89" s="72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737" t="s">
        <v>200</v>
      </c>
      <c r="S90" s="738"/>
      <c r="T90" s="73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746" t="s">
        <v>201</v>
      </c>
      <c r="S91" s="747"/>
      <c r="T91" s="74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726" t="s">
        <v>202</v>
      </c>
      <c r="S93" s="727"/>
      <c r="T93" s="72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737" t="s">
        <v>203</v>
      </c>
      <c r="S94" s="738"/>
      <c r="T94" s="73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737" t="s">
        <v>204</v>
      </c>
      <c r="S95" s="738"/>
      <c r="T95" s="73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43" t="s">
        <v>205</v>
      </c>
      <c r="S96" s="744"/>
      <c r="T96" s="74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746" t="s">
        <v>206</v>
      </c>
      <c r="S97" s="747"/>
      <c r="T97" s="74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726" t="s">
        <v>207</v>
      </c>
      <c r="S99" s="727"/>
      <c r="T99" s="72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737" t="s">
        <v>208</v>
      </c>
      <c r="S100" s="738"/>
      <c r="T100" s="73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0</v>
      </c>
      <c r="G101" s="223">
        <f>+ROUND(+SUM(G99:G100),0)</f>
        <v>0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0</v>
      </c>
      <c r="P101" s="351">
        <f>+ROUND(+SUM(P99:P100),0)</f>
        <v>0</v>
      </c>
      <c r="Q101" s="31"/>
      <c r="R101" s="746" t="s">
        <v>209</v>
      </c>
      <c r="S101" s="747"/>
      <c r="T101" s="74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0</v>
      </c>
      <c r="G103" s="245">
        <f>+ROUND(G91+G97+G101,0)</f>
        <v>0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0</v>
      </c>
      <c r="P103" s="368">
        <f>+ROUND(P91+P97+P101,0)</f>
        <v>0</v>
      </c>
      <c r="Q103" s="94"/>
      <c r="R103" s="758" t="s">
        <v>210</v>
      </c>
      <c r="S103" s="759"/>
      <c r="T103" s="76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726" t="s">
        <v>211</v>
      </c>
      <c r="S106" s="727"/>
      <c r="T106" s="72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737" t="s">
        <v>212</v>
      </c>
      <c r="S107" s="738"/>
      <c r="T107" s="73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746" t="s">
        <v>213</v>
      </c>
      <c r="S108" s="747"/>
      <c r="T108" s="74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73" t="s">
        <v>214</v>
      </c>
      <c r="S110" s="774"/>
      <c r="T110" s="77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76" t="s">
        <v>215</v>
      </c>
      <c r="S111" s="777"/>
      <c r="T111" s="7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746" t="s">
        <v>216</v>
      </c>
      <c r="S112" s="747"/>
      <c r="T112" s="74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726" t="s">
        <v>217</v>
      </c>
      <c r="S114" s="727"/>
      <c r="T114" s="72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737" t="s">
        <v>218</v>
      </c>
      <c r="S115" s="738"/>
      <c r="T115" s="73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746" t="s">
        <v>219</v>
      </c>
      <c r="S116" s="747"/>
      <c r="T116" s="74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-1173</v>
      </c>
      <c r="G118" s="248">
        <v>1192</v>
      </c>
      <c r="H118" s="15"/>
      <c r="I118" s="248"/>
      <c r="J118" s="247"/>
      <c r="K118" s="215"/>
      <c r="L118" s="248">
        <v>-13524</v>
      </c>
      <c r="M118" s="248">
        <v>-17324</v>
      </c>
      <c r="N118" s="215"/>
      <c r="O118" s="354">
        <f>+ROUND(+F118+I118+L118,0)</f>
        <v>-14697</v>
      </c>
      <c r="P118" s="347">
        <f>+ROUND(+G118+J118+M118,0)</f>
        <v>-16132</v>
      </c>
      <c r="Q118" s="31"/>
      <c r="R118" s="726" t="s">
        <v>220</v>
      </c>
      <c r="S118" s="727"/>
      <c r="T118" s="72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737" t="s">
        <v>221</v>
      </c>
      <c r="S119" s="738"/>
      <c r="T119" s="73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-1173</v>
      </c>
      <c r="G120" s="249">
        <f>+ROUND(+SUM(G118:G119),0)</f>
        <v>1192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-13524</v>
      </c>
      <c r="M120" s="249">
        <f>+ROUND(+SUM(M118:M119),0)</f>
        <v>-17324</v>
      </c>
      <c r="N120" s="215"/>
      <c r="O120" s="369">
        <f>+ROUND(+SUM(O118:O119),0)</f>
        <v>-14697</v>
      </c>
      <c r="P120" s="370">
        <f>+ROUND(+SUM(P118:P119),0)</f>
        <v>-16132</v>
      </c>
      <c r="Q120" s="31"/>
      <c r="R120" s="746" t="s">
        <v>222</v>
      </c>
      <c r="S120" s="747"/>
      <c r="T120" s="74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-1173</v>
      </c>
      <c r="G122" s="260">
        <f>+ROUND(G108+G112+G116+G120,0)</f>
        <v>1192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-13524</v>
      </c>
      <c r="M122" s="260">
        <f>+ROUND(M108+M112+M116+M120,0)</f>
        <v>-17324</v>
      </c>
      <c r="N122" s="215"/>
      <c r="O122" s="373">
        <f>+ROUND(O108+O112+O116+O120,0)</f>
        <v>-14697</v>
      </c>
      <c r="P122" s="380">
        <f>+ROUND(P108+P112+P116+P120,0)</f>
        <v>-16132</v>
      </c>
      <c r="Q122" s="31"/>
      <c r="R122" s="761" t="s">
        <v>223</v>
      </c>
      <c r="S122" s="762"/>
      <c r="T122" s="76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726" t="s">
        <v>224</v>
      </c>
      <c r="S124" s="727"/>
      <c r="T124" s="72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/>
      <c r="G125" s="221"/>
      <c r="H125" s="15"/>
      <c r="I125" s="222"/>
      <c r="J125" s="221"/>
      <c r="K125" s="215"/>
      <c r="L125" s="222"/>
      <c r="M125" s="221"/>
      <c r="N125" s="215"/>
      <c r="O125" s="349">
        <f t="shared" si="7"/>
        <v>0</v>
      </c>
      <c r="P125" s="372">
        <f t="shared" si="7"/>
        <v>0</v>
      </c>
      <c r="Q125" s="31"/>
      <c r="R125" s="737" t="s">
        <v>225</v>
      </c>
      <c r="S125" s="738"/>
      <c r="T125" s="73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67" t="s">
        <v>286</v>
      </c>
      <c r="S126" s="768"/>
      <c r="T126" s="76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779" t="s">
        <v>282</v>
      </c>
      <c r="S127" s="780"/>
      <c r="T127" s="7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70" t="s">
        <v>226</v>
      </c>
      <c r="S128" s="771"/>
      <c r="T128" s="77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0</v>
      </c>
      <c r="G129" s="258">
        <f>+ROUND(+SUM(G124,G125,G126,G128),0)</f>
        <v>0</v>
      </c>
      <c r="H129" s="15"/>
      <c r="I129" s="259">
        <f>+ROUND(+SUM(I124,I125,I126,I128),0)</f>
        <v>0</v>
      </c>
      <c r="J129" s="258">
        <f>+ROUND(+SUM(J124,J125,J126,J128),0)</f>
        <v>0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0</v>
      </c>
      <c r="Q129" s="31"/>
      <c r="R129" s="764" t="s">
        <v>227</v>
      </c>
      <c r="S129" s="765"/>
      <c r="T129" s="76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1827</v>
      </c>
      <c r="G131" s="217">
        <v>213</v>
      </c>
      <c r="H131" s="15"/>
      <c r="I131" s="218"/>
      <c r="J131" s="217"/>
      <c r="K131" s="215"/>
      <c r="L131" s="218">
        <v>38553</v>
      </c>
      <c r="M131" s="218">
        <v>55877</v>
      </c>
      <c r="N131" s="215"/>
      <c r="O131" s="353">
        <f aca="true" t="shared" si="8" ref="O131:P133">+ROUND(+F131+I131+L131,0)</f>
        <v>40380</v>
      </c>
      <c r="P131" s="366">
        <f t="shared" si="8"/>
        <v>56090</v>
      </c>
      <c r="Q131" s="31"/>
      <c r="R131" s="726" t="s">
        <v>228</v>
      </c>
      <c r="S131" s="727"/>
      <c r="T131" s="72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2"/>
      <c r="N132" s="215"/>
      <c r="O132" s="349">
        <f t="shared" si="8"/>
        <v>0</v>
      </c>
      <c r="P132" s="372">
        <f t="shared" si="8"/>
        <v>0</v>
      </c>
      <c r="Q132" s="31"/>
      <c r="R132" s="737" t="s">
        <v>229</v>
      </c>
      <c r="S132" s="738"/>
      <c r="T132" s="73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9700</v>
      </c>
      <c r="G133" s="221">
        <v>1827</v>
      </c>
      <c r="H133" s="15"/>
      <c r="I133" s="222"/>
      <c r="J133" s="221"/>
      <c r="K133" s="215"/>
      <c r="L133" s="222">
        <v>25029</v>
      </c>
      <c r="M133" s="222">
        <v>38553</v>
      </c>
      <c r="N133" s="215"/>
      <c r="O133" s="349">
        <f t="shared" si="8"/>
        <v>34729</v>
      </c>
      <c r="P133" s="372">
        <f t="shared" si="8"/>
        <v>40380</v>
      </c>
      <c r="Q133" s="31"/>
      <c r="R133" s="787" t="s">
        <v>230</v>
      </c>
      <c r="S133" s="788"/>
      <c r="T133" s="78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7873</v>
      </c>
      <c r="G134" s="263">
        <f>+ROUND(+G133-G131-G132,0)</f>
        <v>1614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-13524</v>
      </c>
      <c r="M134" s="263">
        <f>+ROUND(+M133-M131-M132,0)</f>
        <v>-17324</v>
      </c>
      <c r="N134" s="215"/>
      <c r="O134" s="382">
        <f>+ROUND(+O133-O131-O132,0)</f>
        <v>-5651</v>
      </c>
      <c r="P134" s="383">
        <f>+ROUND(+P133-P131-P132,0)</f>
        <v>-15710</v>
      </c>
      <c r="Q134" s="31"/>
      <c r="R134" s="784" t="s">
        <v>307</v>
      </c>
      <c r="S134" s="785"/>
      <c r="T134" s="78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1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19"/>
      <c r="D135" s="719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8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679" t="s">
        <v>321</v>
      </c>
      <c r="S137" s="680"/>
      <c r="T137" s="6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2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682" t="s">
        <v>318</v>
      </c>
      <c r="S138" s="683"/>
      <c r="T138" s="6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2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685" t="s">
        <v>317</v>
      </c>
      <c r="S139" s="686"/>
      <c r="T139" s="6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688" t="s">
        <v>308</v>
      </c>
      <c r="S140" s="689"/>
      <c r="T140" s="6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7873</v>
      </c>
      <c r="G142" s="525">
        <f>+G134+G140</f>
        <v>1614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-13524</v>
      </c>
      <c r="M142" s="525">
        <f>+M134+M140</f>
        <v>-17324</v>
      </c>
      <c r="N142" s="215"/>
      <c r="O142" s="382">
        <f>+O134+O140</f>
        <v>-5651</v>
      </c>
      <c r="P142" s="383">
        <f>+P134+P140</f>
        <v>-15710</v>
      </c>
      <c r="Q142" s="31"/>
      <c r="R142" s="691" t="s">
        <v>310</v>
      </c>
      <c r="S142" s="692"/>
      <c r="T142" s="6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21072020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694"/>
      <c r="G148" s="695"/>
      <c r="H148" s="695"/>
      <c r="I148" s="696"/>
      <c r="J148" s="334"/>
      <c r="K148" s="16"/>
      <c r="L148" s="334" t="s">
        <v>234</v>
      </c>
      <c r="M148" s="694"/>
      <c r="N148" s="695"/>
      <c r="O148" s="695"/>
      <c r="P148" s="696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9700</v>
      </c>
      <c r="G160" s="553">
        <f>+G133+G139</f>
        <v>1827</v>
      </c>
      <c r="I160" s="552">
        <f>+I133+I139</f>
        <v>0</v>
      </c>
      <c r="J160" s="553">
        <f>+J133+J139</f>
        <v>0</v>
      </c>
      <c r="K160" s="215"/>
      <c r="L160" s="552">
        <f>+L133+L139</f>
        <v>25029</v>
      </c>
      <c r="M160" s="553">
        <f>+M133+M139</f>
        <v>38553</v>
      </c>
      <c r="N160" s="215"/>
      <c r="O160" s="556">
        <f>+ROUND(+F160+I160+L160,0)</f>
        <v>34729</v>
      </c>
      <c r="P160" s="557">
        <f>+ROUND(+G160+J160+M160,0)</f>
        <v>40380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675">
        <f>+'Cash-Flow-2020-Leva'!P5</f>
        <v>2020</v>
      </c>
      <c r="D161" s="676"/>
      <c r="F161" s="549">
        <v>9700</v>
      </c>
      <c r="G161" s="550">
        <v>1827</v>
      </c>
      <c r="I161" s="549"/>
      <c r="J161" s="550"/>
      <c r="K161" s="215"/>
      <c r="L161" s="549">
        <v>25029</v>
      </c>
      <c r="M161" s="550">
        <v>38553</v>
      </c>
      <c r="N161" s="215"/>
      <c r="O161" s="558">
        <f>+ROUND(+F161+I161+L161,0)</f>
        <v>34729</v>
      </c>
      <c r="P161" s="559">
        <f>+ROUND(+G161+J161+M161,0)</f>
        <v>40380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30.06.2020 г.</v>
      </c>
      <c r="G162" s="543">
        <f>+G11</f>
        <v>2019</v>
      </c>
      <c r="I162" s="581" t="str">
        <f>+I11</f>
        <v>30.06.2020 г.</v>
      </c>
      <c r="J162" s="545">
        <f>+J11</f>
        <v>2019</v>
      </c>
      <c r="K162" s="11"/>
      <c r="L162" s="582" t="str">
        <f>+L11</f>
        <v>30.06.2020 г.</v>
      </c>
      <c r="M162" s="548">
        <f>+M11</f>
        <v>2019</v>
      </c>
      <c r="N162" s="11"/>
      <c r="O162" s="583" t="str">
        <f>+O11</f>
        <v>30.06.2020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791">
        <f>+IF(F171&gt;0,"БЮДЖЕТ",0)</f>
        <v>0</v>
      </c>
      <c r="G170" s="791"/>
      <c r="I170" s="791">
        <f>+IF(I171&gt;0,"СЕС",0)</f>
        <v>0</v>
      </c>
      <c r="J170" s="791"/>
      <c r="K170" s="11"/>
      <c r="L170" s="791">
        <f>+IF(L171&gt;0,"ДСД",0)</f>
        <v>0</v>
      </c>
      <c r="M170" s="791"/>
      <c r="N170" s="11"/>
      <c r="O170" s="791">
        <f>+IF(O171&gt;0,"Общо (Б-т + СЕС + ДСД)",0)</f>
        <v>0</v>
      </c>
      <c r="P170" s="791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791">
        <f>+COUNTIF(F168:G168,"&lt;&gt;0")</f>
        <v>0</v>
      </c>
      <c r="G171" s="791"/>
      <c r="I171" s="791">
        <f>+COUNTIF(I168:J168,"&lt;&gt;0")</f>
        <v>0</v>
      </c>
      <c r="J171" s="791"/>
      <c r="K171" s="11"/>
      <c r="L171" s="791">
        <f>+COUNTIF(L168:M168,"&lt;&gt;0")</f>
        <v>0</v>
      </c>
      <c r="M171" s="791"/>
      <c r="N171" s="11"/>
      <c r="O171" s="791">
        <f>+COUNTIF(O168:P168,"&lt;&gt;0")</f>
        <v>0</v>
      </c>
      <c r="P171" s="791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0">
        <f>+IF(O174&gt;0,"ВСИЧКО: Б-т + СЕС + ДСД + Общо",0)</f>
        <v>0</v>
      </c>
      <c r="P173" s="790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0">
        <f>+SUM(F171:P171)</f>
        <v>0</v>
      </c>
      <c r="P174" s="790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792" t="str">
        <f>+'Cash-Flow-2020-Leva'!B1:F1</f>
        <v>КОМИСИЯ ЗА ФИНАНСОВ НАДЗОР</v>
      </c>
      <c r="C1" s="793"/>
      <c r="D1" s="793"/>
      <c r="E1" s="793"/>
      <c r="F1" s="794"/>
      <c r="G1" s="426" t="s">
        <v>244</v>
      </c>
      <c r="H1" s="109"/>
      <c r="I1" s="795">
        <f>+'Cash-Flow-2020-Leva'!I1:J1</f>
        <v>131060676</v>
      </c>
      <c r="J1" s="796"/>
      <c r="K1" s="427"/>
      <c r="L1" s="428" t="s">
        <v>245</v>
      </c>
      <c r="M1" s="429">
        <f>+'Cash-Flow-2020-Leva'!M1</f>
        <v>4700</v>
      </c>
      <c r="N1" s="427"/>
      <c r="O1" s="428" t="s">
        <v>239</v>
      </c>
      <c r="P1" s="439">
        <f>+'Cash-Flow-2020-Leva'!P1</f>
        <v>29404695</v>
      </c>
      <c r="Q1" s="432"/>
      <c r="R1" s="436" t="s">
        <v>233</v>
      </c>
      <c r="S1" s="797">
        <f>+'Cash-Flow-2020-Leva'!$S$1</f>
        <v>0</v>
      </c>
      <c r="T1" s="79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799" t="s">
        <v>249</v>
      </c>
      <c r="C2" s="800"/>
      <c r="D2" s="800"/>
      <c r="E2" s="800"/>
      <c r="F2" s="80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02" t="str">
        <f>+'Cash-Flow-2020-Leva'!B3:F3</f>
        <v>[Седалище и адрес]</v>
      </c>
      <c r="C3" s="803"/>
      <c r="D3" s="803"/>
      <c r="E3" s="803"/>
      <c r="F3" s="804"/>
      <c r="G3" s="433" t="s">
        <v>238</v>
      </c>
      <c r="H3" s="805">
        <f>+'Cash-Flow-2020-Leva'!H3</f>
        <v>0</v>
      </c>
      <c r="I3" s="806"/>
      <c r="J3" s="806"/>
      <c r="K3" s="807"/>
      <c r="L3" s="51" t="s">
        <v>246</v>
      </c>
      <c r="M3" s="808" t="str">
        <f>+'Cash-Flow-2020-Leva'!M3:P3</f>
        <v>vasileva_m@fsc.bg</v>
      </c>
      <c r="N3" s="809"/>
      <c r="O3" s="809"/>
      <c r="P3" s="81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677">
        <f>+'Cash-Flow-2020-Leva'!B5</f>
        <v>0</v>
      </c>
      <c r="C5" s="677"/>
      <c r="D5" s="812" t="s">
        <v>243</v>
      </c>
      <c r="E5" s="812"/>
      <c r="F5" s="812"/>
      <c r="G5" s="812"/>
      <c r="H5" s="812"/>
      <c r="I5" s="812"/>
      <c r="J5" s="812"/>
      <c r="K5" s="812"/>
      <c r="L5" s="812"/>
      <c r="M5" s="39"/>
      <c r="N5" s="39"/>
      <c r="O5" s="53" t="s">
        <v>17</v>
      </c>
      <c r="P5" s="437">
        <f>+'Cash-Flow-2020-Leva'!P5</f>
        <v>2020</v>
      </c>
      <c r="Q5" s="39"/>
      <c r="R5" s="811" t="s">
        <v>180</v>
      </c>
      <c r="S5" s="811"/>
      <c r="T5" s="811"/>
      <c r="U5" s="6"/>
    </row>
    <row r="6" spans="1:28" s="3" customFormat="1" ht="17.25" customHeight="1">
      <c r="A6" s="6"/>
      <c r="B6" s="820">
        <f>+'Cash-Flow-2020-Leva'!B6</f>
        <v>0</v>
      </c>
      <c r="C6" s="820"/>
      <c r="D6" s="812" t="s">
        <v>242</v>
      </c>
      <c r="E6" s="812"/>
      <c r="F6" s="812"/>
      <c r="G6" s="812"/>
      <c r="H6" s="812"/>
      <c r="I6" s="812"/>
      <c r="J6" s="812"/>
      <c r="K6" s="812"/>
      <c r="L6" s="812"/>
      <c r="M6" s="42"/>
      <c r="N6" s="5"/>
      <c r="O6" s="6"/>
      <c r="P6" s="6"/>
      <c r="Q6" s="1"/>
      <c r="R6" s="813">
        <f>+P4</f>
        <v>0</v>
      </c>
      <c r="S6" s="813"/>
      <c r="T6" s="81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814" t="str">
        <f>+B1</f>
        <v>КОМИСИЯ ЗА ФИНАНСОВ НАДЗОР</v>
      </c>
      <c r="E8" s="814"/>
      <c r="F8" s="814"/>
      <c r="G8" s="814"/>
      <c r="H8" s="814"/>
      <c r="I8" s="814"/>
      <c r="J8" s="814"/>
      <c r="K8" s="814"/>
      <c r="L8" s="814"/>
      <c r="M8" s="434" t="s">
        <v>247</v>
      </c>
      <c r="N8" s="5"/>
      <c r="O8" s="584" t="str">
        <f>+'Cash-Flow-2020-Leva'!O8</f>
        <v>30.06.2020 г.</v>
      </c>
      <c r="P8" s="435" t="s">
        <v>8</v>
      </c>
      <c r="Q8" s="1"/>
      <c r="R8" s="815">
        <f>+P5</f>
        <v>2020</v>
      </c>
      <c r="S8" s="816"/>
      <c r="T8" s="81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30.06.2020 г.</v>
      </c>
      <c r="G11" s="384">
        <f>+'Cash-Flow-2020-Leva'!G11</f>
        <v>2019</v>
      </c>
      <c r="H11" s="5"/>
      <c r="I11" s="576" t="str">
        <f>+O8</f>
        <v>30.06.2020 г.</v>
      </c>
      <c r="J11" s="385">
        <f>+'Cash-Flow-2020-Leva'!J11</f>
        <v>2019</v>
      </c>
      <c r="K11" s="5"/>
      <c r="L11" s="577" t="str">
        <f>+O8</f>
        <v>30.06.2020 г.</v>
      </c>
      <c r="M11" s="386">
        <f>+'Cash-Flow-2020-Leva'!M11</f>
        <v>2019</v>
      </c>
      <c r="N11" s="450"/>
      <c r="O11" s="578" t="str">
        <f>+O8</f>
        <v>30.06.2020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15124.18</v>
      </c>
      <c r="G16" s="255">
        <f>+'Cash-Flow-2020-Leva'!G16/1000</f>
        <v>18023.056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15124.18</v>
      </c>
      <c r="P16" s="372">
        <f t="shared" si="1"/>
        <v>18023.056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1503.398</v>
      </c>
      <c r="G18" s="243">
        <f>+'Cash-Flow-2020-Leva'!G18/1000</f>
        <v>3645.452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1503.398</v>
      </c>
      <c r="P18" s="366">
        <f t="shared" si="1"/>
        <v>3645.452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0</v>
      </c>
      <c r="G19" s="266">
        <f>+'Cash-Flow-2020-Leva'!G19/1000</f>
        <v>0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0</v>
      </c>
      <c r="P19" s="400">
        <f t="shared" si="1"/>
        <v>0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0</v>
      </c>
      <c r="G20" s="266">
        <f>+'Cash-Flow-2020-Leva'!G20/1000</f>
        <v>0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0</v>
      </c>
      <c r="P20" s="400">
        <f t="shared" si="1"/>
        <v>0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</v>
      </c>
      <c r="G22" s="266">
        <f>+'Cash-Flow-2020-Leva'!G22/1000</f>
        <v>0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</v>
      </c>
      <c r="P22" s="400">
        <f t="shared" si="1"/>
        <v>0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5.758</v>
      </c>
      <c r="G24" s="255">
        <f>+'Cash-Flow-2020-Leva'!G24/1000</f>
        <v>6.244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5.758</v>
      </c>
      <c r="P24" s="372">
        <f t="shared" si="1"/>
        <v>6.244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16633.336000000003</v>
      </c>
      <c r="G25" s="223">
        <f>+SUM(G15,G16,G18,G19,G20,G21,G22,G23,G24)</f>
        <v>21674.752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16633.336000000003</v>
      </c>
      <c r="P25" s="351">
        <f>+SUM(P15,P16,P18,P19,P20,P21,P22,P23,P24)</f>
        <v>21674.752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-86.769</v>
      </c>
      <c r="G37" s="223">
        <f>+'Cash-Flow-2020-Leva'!G37/1000</f>
        <v>-239.439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-86.769</v>
      </c>
      <c r="P37" s="351">
        <f t="shared" si="3"/>
        <v>-239.439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0</v>
      </c>
      <c r="G38" s="268">
        <f>+'Cash-Flow-2020-Leva'!G38/1000</f>
        <v>0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0</v>
      </c>
      <c r="P38" s="401">
        <f t="shared" si="3"/>
        <v>0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0</v>
      </c>
      <c r="G39" s="270">
        <f>+'Cash-Flow-2020-Leva'!G39/1000</f>
        <v>0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0</v>
      </c>
      <c r="P39" s="402">
        <f t="shared" si="3"/>
        <v>0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0.879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0.879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0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16547.446000000004</v>
      </c>
      <c r="G50" s="245">
        <f>+G25+G30+G37+G42+G48</f>
        <v>21435.313000000002</v>
      </c>
      <c r="H50" s="265"/>
      <c r="I50" s="246">
        <f>+I25+I30+I37+I42+I48</f>
        <v>0</v>
      </c>
      <c r="J50" s="245">
        <f>+J25+J30+J37+J42+J48</f>
        <v>0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16547.446000000004</v>
      </c>
      <c r="P50" s="368">
        <f>+P25+P30+P37+P42+P48</f>
        <v>21435.313000000002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1042.21</v>
      </c>
      <c r="G53" s="216">
        <f>+'Cash-Flow-2020-Leva'!G53/1000</f>
        <v>4827.608</v>
      </c>
      <c r="H53" s="265"/>
      <c r="I53" s="226">
        <f>+'Cash-Flow-2020-Leva'!I53/1000</f>
        <v>0</v>
      </c>
      <c r="J53" s="216">
        <f>+'Cash-Flow-2020-Leva'!J53/1000</f>
        <v>0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1042.21</v>
      </c>
      <c r="P53" s="347">
        <f t="shared" si="5"/>
        <v>4827.608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2.444</v>
      </c>
      <c r="G54" s="255">
        <f>+'Cash-Flow-2020-Leva'!G54/1000</f>
        <v>44.776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2.444</v>
      </c>
      <c r="P54" s="372">
        <f t="shared" si="5"/>
        <v>44.776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37.193</v>
      </c>
      <c r="G55" s="255">
        <f>+'Cash-Flow-2020-Leva'!G55/1000</f>
        <v>42.99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37.193</v>
      </c>
      <c r="P55" s="372">
        <f t="shared" si="5"/>
        <v>42.99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4562.134</v>
      </c>
      <c r="G56" s="255">
        <f>+'Cash-Flow-2020-Leva'!G56/1000</f>
        <v>10789.784</v>
      </c>
      <c r="H56" s="265"/>
      <c r="I56" s="256">
        <f>+'Cash-Flow-2020-Leva'!I56/1000</f>
        <v>0</v>
      </c>
      <c r="J56" s="255">
        <f>+'Cash-Flow-2020-Leva'!J56/1000</f>
        <v>0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4562.134</v>
      </c>
      <c r="P56" s="372">
        <f t="shared" si="5"/>
        <v>10789.784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654.256</v>
      </c>
      <c r="G57" s="255">
        <f>+'Cash-Flow-2020-Leva'!G57/1000</f>
        <v>1370.769</v>
      </c>
      <c r="H57" s="265"/>
      <c r="I57" s="256">
        <f>+'Cash-Flow-2020-Leva'!I57/1000</f>
        <v>0</v>
      </c>
      <c r="J57" s="255">
        <f>+'Cash-Flow-2020-Leva'!J57/1000</f>
        <v>0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654.256</v>
      </c>
      <c r="P57" s="372">
        <f t="shared" si="5"/>
        <v>1370.769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6298.237</v>
      </c>
      <c r="G58" s="249">
        <f>+SUM(G53:G57)</f>
        <v>17075.927</v>
      </c>
      <c r="H58" s="265"/>
      <c r="I58" s="250">
        <f>+SUM(I53:I57)</f>
        <v>0</v>
      </c>
      <c r="J58" s="249">
        <f>+SUM(J53:J57)</f>
        <v>0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6298.237</v>
      </c>
      <c r="P58" s="370">
        <f>+SUM(P53:P57)</f>
        <v>17075.927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33.042</v>
      </c>
      <c r="G61" s="255">
        <f>+'Cash-Flow-2020-Leva'!G61/1000</f>
        <v>298.146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33.042</v>
      </c>
      <c r="P61" s="372">
        <f t="shared" si="6"/>
        <v>298.146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48.475</v>
      </c>
      <c r="G62" s="255">
        <f>+'Cash-Flow-2020-Leva'!G62/1000</f>
        <v>352.942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48.475</v>
      </c>
      <c r="P62" s="372">
        <f t="shared" si="6"/>
        <v>352.942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81.517</v>
      </c>
      <c r="G65" s="249">
        <f>+SUM(G60:G63)</f>
        <v>651.088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81.517</v>
      </c>
      <c r="P65" s="370">
        <f>+SUM(P60:P63)</f>
        <v>651.088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0</v>
      </c>
      <c r="G71" s="216">
        <f>+'Cash-Flow-2020-Leva'!G71/1000</f>
        <v>0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0</v>
      </c>
      <c r="P71" s="347">
        <f>+G71+J71+M71</f>
        <v>0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0</v>
      </c>
      <c r="G73" s="249">
        <f>+SUM(G71:G72)</f>
        <v>0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0</v>
      </c>
      <c r="P73" s="370">
        <f>+SUM(P71:P72)</f>
        <v>0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6379.754</v>
      </c>
      <c r="G79" s="260">
        <f>+G58+G65+G69+G73+G77</f>
        <v>17727.015</v>
      </c>
      <c r="H79" s="265"/>
      <c r="I79" s="257">
        <f>+I58+I65+I69+I73+I77</f>
        <v>0</v>
      </c>
      <c r="J79" s="260">
        <f>+J58+J65+J69+J73+J77</f>
        <v>0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6379.754</v>
      </c>
      <c r="P79" s="380">
        <f>+P58+P65+P69+P73+P77</f>
        <v>17727.015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-10158.646</v>
      </c>
      <c r="G81" s="243">
        <f>+'Cash-Flow-2020-Leva'!G81/1000</f>
        <v>-3707.876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-10158.646</v>
      </c>
      <c r="P81" s="366">
        <f>+G81+J81+M81</f>
        <v>-3707.876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-10158.646</v>
      </c>
      <c r="G83" s="258">
        <f>+G81+G82</f>
        <v>-3707.876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-10158.646</v>
      </c>
      <c r="P83" s="375">
        <f>+P81+P82</f>
        <v>-3707.876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1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19"/>
      <c r="D84" s="819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9.046000000002095</v>
      </c>
      <c r="G85" s="279">
        <f>+G50-G79+G83</f>
        <v>0.4220000000022992</v>
      </c>
      <c r="H85" s="265"/>
      <c r="I85" s="280">
        <f>+I50-I79+I83</f>
        <v>0</v>
      </c>
      <c r="J85" s="279">
        <f>+J50-J79+J83</f>
        <v>0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9.046000000002095</v>
      </c>
      <c r="P85" s="377">
        <f>+P50-P79+P83</f>
        <v>0.4220000000022992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-9.046</v>
      </c>
      <c r="G86" s="281">
        <f>+G103+G122+G129-G134</f>
        <v>-0.42199999999999993</v>
      </c>
      <c r="H86" s="265"/>
      <c r="I86" s="282">
        <f>+I103+I122+I129-I134</f>
        <v>0</v>
      </c>
      <c r="J86" s="281">
        <f>+J103+J122+J129-J134</f>
        <v>0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-9.046000000000003</v>
      </c>
      <c r="P86" s="379">
        <f>+P103+P122+P129-P134</f>
        <v>-0.4219999999999935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0</v>
      </c>
      <c r="G101" s="223">
        <f>+SUM(G99:G100)</f>
        <v>0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0</v>
      </c>
      <c r="P101" s="351">
        <f>+SUM(P99:P100)</f>
        <v>0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0</v>
      </c>
      <c r="G103" s="245">
        <f>+G91+G97+G101</f>
        <v>0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0</v>
      </c>
      <c r="P103" s="368">
        <f>+P91+P97+P101</f>
        <v>0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-1.173</v>
      </c>
      <c r="G118" s="216">
        <f>+'Cash-Flow-2020-Leva'!G118/1000</f>
        <v>1.192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-13.524</v>
      </c>
      <c r="M118" s="216">
        <f>+'Cash-Flow-2020-Leva'!M118/1000</f>
        <v>-17.324</v>
      </c>
      <c r="N118" s="451"/>
      <c r="O118" s="354">
        <f>+F118+I118+L118</f>
        <v>-14.697</v>
      </c>
      <c r="P118" s="347">
        <f>+G118+J118+M118</f>
        <v>-16.132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-1.173</v>
      </c>
      <c r="G120" s="249">
        <f>+SUM(G118:G119)</f>
        <v>1.192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-13.524</v>
      </c>
      <c r="M120" s="249">
        <f>+SUM(M118:M119)</f>
        <v>-17.324</v>
      </c>
      <c r="N120" s="451"/>
      <c r="O120" s="369">
        <f>+SUM(O118:O119)</f>
        <v>-14.697</v>
      </c>
      <c r="P120" s="370">
        <f>+SUM(P118:P119)</f>
        <v>-16.132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-1.173</v>
      </c>
      <c r="G122" s="260">
        <f>+G108+G112+G116+G120</f>
        <v>1.192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-13.524</v>
      </c>
      <c r="M122" s="260">
        <f>+M108+M112+M116+M120</f>
        <v>-17.324</v>
      </c>
      <c r="N122" s="451"/>
      <c r="O122" s="373">
        <f>+O108+O112+O116+O120</f>
        <v>-14.697</v>
      </c>
      <c r="P122" s="380">
        <f>+P108+P112+P116+P120</f>
        <v>-16.132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0</v>
      </c>
      <c r="G125" s="255">
        <f>+'Cash-Flow-2020-Leva'!G125/1000</f>
        <v>0</v>
      </c>
      <c r="H125" s="265"/>
      <c r="I125" s="256">
        <f>+'Cash-Flow-2020-Leva'!I125/1000</f>
        <v>0</v>
      </c>
      <c r="J125" s="255">
        <f>+'Cash-Flow-2020-Leva'!J125/1000</f>
        <v>0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0</v>
      </c>
      <c r="G129" s="258">
        <f>+SUM(G124,G125,G126,G128)</f>
        <v>0</v>
      </c>
      <c r="H129" s="265"/>
      <c r="I129" s="259">
        <f>+SUM(I124,I125,I126,I128)</f>
        <v>0</v>
      </c>
      <c r="J129" s="258">
        <f>+SUM(J124,J125,J126,J128)</f>
        <v>0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1.827</v>
      </c>
      <c r="G131" s="243">
        <f>+'Cash-Flow-2020-Leva'!G131/1000</f>
        <v>0.213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38.553</v>
      </c>
      <c r="M131" s="243">
        <f>+'Cash-Flow-2020-Leva'!M131/1000</f>
        <v>55.877</v>
      </c>
      <c r="N131" s="451"/>
      <c r="O131" s="353">
        <f aca="true" t="shared" si="9" ref="O131:P133">+F131+I131+L131</f>
        <v>40.379999999999995</v>
      </c>
      <c r="P131" s="366">
        <f t="shared" si="9"/>
        <v>56.09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9.7</v>
      </c>
      <c r="G133" s="255">
        <f>+'Cash-Flow-2020-Leva'!G133/1000</f>
        <v>1.827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25.029</v>
      </c>
      <c r="M133" s="255">
        <f>+'Cash-Flow-2020-Leva'!M133/1000</f>
        <v>38.553</v>
      </c>
      <c r="N133" s="451"/>
      <c r="O133" s="349">
        <f t="shared" si="9"/>
        <v>34.729</v>
      </c>
      <c r="P133" s="372">
        <f t="shared" si="9"/>
        <v>40.379999999999995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7.872999999999999</v>
      </c>
      <c r="G134" s="263">
        <f>+G133-G131-G132</f>
        <v>1.6139999999999999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-13.523999999999997</v>
      </c>
      <c r="M134" s="263">
        <f>+M133-M131-M132</f>
        <v>-17.324000000000005</v>
      </c>
      <c r="N134" s="451"/>
      <c r="O134" s="382">
        <f>+O133-O131-O132</f>
        <v>-5.650999999999996</v>
      </c>
      <c r="P134" s="383">
        <f>+P133-P131-P132</f>
        <v>-15.710000000000008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1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18"/>
      <c r="D135" s="818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7.872999999999999</v>
      </c>
      <c r="G142" s="263">
        <f>+G134+G140</f>
        <v>1.6139999999999999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-13.523999999999997</v>
      </c>
      <c r="M142" s="525">
        <f>+M134+M140</f>
        <v>-17.324000000000005</v>
      </c>
      <c r="N142" s="451"/>
      <c r="O142" s="536">
        <f>+O134+O140</f>
        <v>-5.650999999999996</v>
      </c>
      <c r="P142" s="537">
        <f>+P134+P140</f>
        <v>-15.710000000000008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21072020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Hristova</dc:creator>
  <cp:keywords/>
  <dc:description/>
  <cp:lastModifiedBy>Marinela Hristova</cp:lastModifiedBy>
  <cp:lastPrinted>2020-03-18T16:57:49Z</cp:lastPrinted>
  <dcterms:created xsi:type="dcterms:W3CDTF">2015-12-01T07:17:04Z</dcterms:created>
  <dcterms:modified xsi:type="dcterms:W3CDTF">2020-07-21T08:23:56Z</dcterms:modified>
  <cp:category/>
  <cp:version/>
  <cp:contentType/>
  <cp:contentStatus/>
</cp:coreProperties>
</file>